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鹿寨县2024年脱贫劳动力跨省就业一次性交通补助花名册" sheetId="1" r:id="rId1"/>
    <sheet name="Sheet2"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s>
  <definedNames>
    <definedName name="_xlnm._FilterDatabase" localSheetId="0" hidden="1">鹿寨县2024年脱贫劳动力跨省就业一次性交通补助花名册!$A$4:$J$1798</definedName>
    <definedName name="_xlnm.Print_Titles" localSheetId="0">鹿寨县2024年脱贫劳动力跨省就业一次性交通补助花名册!$4:$4</definedName>
  </definedNames>
  <calcPr calcId="144525"/>
</workbook>
</file>

<file path=xl/sharedStrings.xml><?xml version="1.0" encoding="utf-8"?>
<sst xmlns="http://schemas.openxmlformats.org/spreadsheetml/2006/main" count="12684" uniqueCount="1962">
  <si>
    <t>附件6</t>
  </si>
  <si>
    <t>鹿寨县2024年脱贫劳动力跨省就业一次性交通补助花名册（第二批）</t>
  </si>
  <si>
    <t>填报单位（盖章）：鹿寨县农业农村局                 审核领导：张佐霖                     填报人：黄静                         填报日期：2024年8月23日</t>
  </si>
  <si>
    <t>序号</t>
  </si>
  <si>
    <t>乡镇</t>
  </si>
  <si>
    <t>行政村</t>
  </si>
  <si>
    <t>姓名</t>
  </si>
  <si>
    <t>人员类别</t>
  </si>
  <si>
    <t>是否乘坐专列</t>
  </si>
  <si>
    <t>务工区域（省）</t>
  </si>
  <si>
    <t>今年外出时间</t>
  </si>
  <si>
    <t>补助金额（元）</t>
  </si>
  <si>
    <t>惠民惠农财政补贴资金“一卡通”信息</t>
  </si>
  <si>
    <t>备注</t>
  </si>
  <si>
    <t>黄冕镇</t>
  </si>
  <si>
    <t>大端村</t>
  </si>
  <si>
    <t>李秀丽</t>
  </si>
  <si>
    <t>脱贫劳动力</t>
  </si>
  <si>
    <t>否</t>
  </si>
  <si>
    <t>广东省</t>
  </si>
  <si>
    <t>一卡通系统登记账号</t>
  </si>
  <si>
    <t>韦荣新</t>
  </si>
  <si>
    <t>易双艳</t>
  </si>
  <si>
    <t>易巧艳</t>
  </si>
  <si>
    <t>丁赐翔</t>
  </si>
  <si>
    <t>杨朝芳</t>
  </si>
  <si>
    <t>杨利邦</t>
  </si>
  <si>
    <t>袁珍桂</t>
  </si>
  <si>
    <t>潘成</t>
  </si>
  <si>
    <t>福建省</t>
  </si>
  <si>
    <t>陈华丽</t>
  </si>
  <si>
    <t>赵玉林</t>
  </si>
  <si>
    <t>浙江省</t>
  </si>
  <si>
    <t>韦荣飞</t>
  </si>
  <si>
    <t>易胜永</t>
  </si>
  <si>
    <t>潘云芳</t>
  </si>
  <si>
    <t>陈启贵</t>
  </si>
  <si>
    <t>罗荣敏</t>
  </si>
  <si>
    <t>湖南省</t>
  </si>
  <si>
    <t>杨猛攀</t>
  </si>
  <si>
    <t>罗道喜</t>
  </si>
  <si>
    <t>罗仁</t>
  </si>
  <si>
    <t>阳玉贵</t>
  </si>
  <si>
    <t>改江村</t>
  </si>
  <si>
    <t>张文明</t>
  </si>
  <si>
    <t>蔡林芳</t>
  </si>
  <si>
    <t>张竞才</t>
  </si>
  <si>
    <t>韦忠旭</t>
  </si>
  <si>
    <t>江西省</t>
  </si>
  <si>
    <t>李钱</t>
  </si>
  <si>
    <t>韦春雪</t>
  </si>
  <si>
    <t>韦鸾萍</t>
  </si>
  <si>
    <t>韦忠飞</t>
  </si>
  <si>
    <t>韦先宪</t>
  </si>
  <si>
    <t>何静</t>
  </si>
  <si>
    <t>上海市</t>
  </si>
  <si>
    <t>廖全德</t>
  </si>
  <si>
    <t>李桂英</t>
  </si>
  <si>
    <t>李泽</t>
  </si>
  <si>
    <t>李颖</t>
  </si>
  <si>
    <t>韦修丽</t>
  </si>
  <si>
    <t>韦修玲</t>
  </si>
  <si>
    <t>古赏村</t>
  </si>
  <si>
    <t>邓雪梅</t>
  </si>
  <si>
    <t>刘峰</t>
  </si>
  <si>
    <t>邓林江</t>
  </si>
  <si>
    <t>黄冕村</t>
  </si>
  <si>
    <t>罗小群</t>
  </si>
  <si>
    <t>曾祥龙</t>
  </si>
  <si>
    <t>四川省</t>
  </si>
  <si>
    <t>廖炳英</t>
  </si>
  <si>
    <t>廖承林</t>
  </si>
  <si>
    <t>韦素娟</t>
  </si>
  <si>
    <t>韦士谷</t>
  </si>
  <si>
    <t>郭建军</t>
  </si>
  <si>
    <t>罗大稳</t>
  </si>
  <si>
    <t>韦新銮</t>
  </si>
  <si>
    <t>廖树德</t>
  </si>
  <si>
    <t>云南省</t>
  </si>
  <si>
    <t>廖树祥</t>
  </si>
  <si>
    <t>廖美玉</t>
  </si>
  <si>
    <t>郭芳</t>
  </si>
  <si>
    <t>是</t>
  </si>
  <si>
    <t>廖华红</t>
  </si>
  <si>
    <t>罗秋福</t>
  </si>
  <si>
    <t>阳金涛</t>
  </si>
  <si>
    <t>罗德源</t>
  </si>
  <si>
    <t>廖华兴</t>
  </si>
  <si>
    <t>盘光美</t>
  </si>
  <si>
    <t>莫显云</t>
  </si>
  <si>
    <t>黄小云</t>
  </si>
  <si>
    <t>罗冬云</t>
  </si>
  <si>
    <t>罗建林</t>
  </si>
  <si>
    <t>廖雪花</t>
  </si>
  <si>
    <t>旧街村</t>
  </si>
  <si>
    <t>吴新学</t>
  </si>
  <si>
    <t>吴新逢</t>
  </si>
  <si>
    <t>林誉杰</t>
  </si>
  <si>
    <t>江苏省</t>
  </si>
  <si>
    <t>六脉村</t>
  </si>
  <si>
    <t>廖明振</t>
  </si>
  <si>
    <t>陈翠云</t>
  </si>
  <si>
    <t>杨忠明</t>
  </si>
  <si>
    <t xml:space="preserve"> 否 </t>
  </si>
  <si>
    <t>蒋连妹</t>
  </si>
  <si>
    <t>莫倩玲</t>
  </si>
  <si>
    <t>赖华坚</t>
  </si>
  <si>
    <t>黄连帝</t>
  </si>
  <si>
    <t>廖才锋</t>
  </si>
  <si>
    <t>廖红健</t>
  </si>
  <si>
    <t>廖红波</t>
  </si>
  <si>
    <t>李威发</t>
  </si>
  <si>
    <t>蓝雪梅</t>
  </si>
  <si>
    <t>盘龙村</t>
  </si>
  <si>
    <t>覃著强</t>
  </si>
  <si>
    <t>覃著敏</t>
  </si>
  <si>
    <t>温伟华</t>
  </si>
  <si>
    <t>覃威</t>
  </si>
  <si>
    <t>湖北省</t>
  </si>
  <si>
    <t>刘立庆</t>
  </si>
  <si>
    <t>潘晓</t>
  </si>
  <si>
    <t>覃重新</t>
  </si>
  <si>
    <t>潘霞</t>
  </si>
  <si>
    <t>潘纤纤</t>
  </si>
  <si>
    <t>余庆德</t>
  </si>
  <si>
    <t>罗晓琴</t>
  </si>
  <si>
    <t>潘显锋</t>
  </si>
  <si>
    <t>山脚村</t>
  </si>
  <si>
    <t>何莲萍</t>
  </si>
  <si>
    <t>刘泽治</t>
  </si>
  <si>
    <t>黄海龙</t>
  </si>
  <si>
    <t>潘冬玉</t>
  </si>
  <si>
    <t>潘君欣</t>
  </si>
  <si>
    <t>杨文华</t>
  </si>
  <si>
    <t>黄自刚</t>
  </si>
  <si>
    <t>何春生</t>
  </si>
  <si>
    <t>刘泽明</t>
  </si>
  <si>
    <t>肖树发</t>
  </si>
  <si>
    <t>方义生</t>
  </si>
  <si>
    <t>杨大华</t>
  </si>
  <si>
    <t>黄双敏</t>
  </si>
  <si>
    <t>石门村</t>
  </si>
  <si>
    <t>蓝正强</t>
  </si>
  <si>
    <t>余秀清</t>
  </si>
  <si>
    <t>刘勇</t>
  </si>
  <si>
    <t>余代强</t>
  </si>
  <si>
    <t>黄伟华</t>
  </si>
  <si>
    <t>陆雪芬</t>
  </si>
  <si>
    <t>覃田杰</t>
  </si>
  <si>
    <t>潘春燕</t>
  </si>
  <si>
    <t>杨竹玉</t>
  </si>
  <si>
    <t>刘康</t>
  </si>
  <si>
    <t>梁俊先</t>
  </si>
  <si>
    <t>潘忠达</t>
  </si>
  <si>
    <t>潘建军</t>
  </si>
  <si>
    <t>覃宗远</t>
  </si>
  <si>
    <t>覃宗恒</t>
  </si>
  <si>
    <t>潘芝明</t>
  </si>
  <si>
    <t>韦秋红</t>
  </si>
  <si>
    <t>潘孟杰</t>
  </si>
  <si>
    <t>陆贵鸾</t>
  </si>
  <si>
    <t>潘耀涛</t>
  </si>
  <si>
    <t>幽兰村</t>
  </si>
  <si>
    <t>潘能亮</t>
  </si>
  <si>
    <t>王慧芳</t>
  </si>
  <si>
    <t>潘守祯</t>
  </si>
  <si>
    <t>潘定雷</t>
  </si>
  <si>
    <t>韦凤连</t>
  </si>
  <si>
    <t>吴建勇</t>
  </si>
  <si>
    <t>赵火英</t>
  </si>
  <si>
    <t>潘能海</t>
  </si>
  <si>
    <t>潘希成</t>
  </si>
  <si>
    <t>潘秋菊</t>
  </si>
  <si>
    <t>潘尉勇</t>
  </si>
  <si>
    <t>潘安喜</t>
  </si>
  <si>
    <t>覃阳石</t>
  </si>
  <si>
    <t>潘惠宣</t>
  </si>
  <si>
    <t>黄柳滋</t>
  </si>
  <si>
    <t>潘孝安</t>
  </si>
  <si>
    <t>潘定贵</t>
  </si>
  <si>
    <t>陈积丽</t>
  </si>
  <si>
    <t>潘能德</t>
  </si>
  <si>
    <t>潘柳琴</t>
  </si>
  <si>
    <t>潘鸿伶</t>
  </si>
  <si>
    <t>平山镇</t>
  </si>
  <si>
    <t>大阳村</t>
  </si>
  <si>
    <t>李语耀</t>
  </si>
  <si>
    <t>罗小平</t>
  </si>
  <si>
    <t>陶克昌</t>
  </si>
  <si>
    <t>黄丽</t>
  </si>
  <si>
    <t>冷桥生</t>
  </si>
  <si>
    <t>谭忠安</t>
  </si>
  <si>
    <t>余明春</t>
  </si>
  <si>
    <t>谭绩善</t>
  </si>
  <si>
    <t>罗美芬</t>
  </si>
  <si>
    <t>计启会</t>
  </si>
  <si>
    <t>谭业贵</t>
  </si>
  <si>
    <t>谭业兵</t>
  </si>
  <si>
    <t>计波</t>
  </si>
  <si>
    <t>龙胜乐</t>
  </si>
  <si>
    <t>陶世勇</t>
  </si>
  <si>
    <t>陶东友</t>
  </si>
  <si>
    <t>陶克毅</t>
  </si>
  <si>
    <t>廖新明</t>
  </si>
  <si>
    <t>陶振永</t>
  </si>
  <si>
    <t>谭海松</t>
  </si>
  <si>
    <t>谭海华</t>
  </si>
  <si>
    <t>朱香色</t>
  </si>
  <si>
    <t>黄新宝</t>
  </si>
  <si>
    <t>青山村</t>
  </si>
  <si>
    <t>陈贵</t>
  </si>
  <si>
    <t>兰贵连</t>
  </si>
  <si>
    <t>罗振</t>
  </si>
  <si>
    <t>吴宏飞</t>
  </si>
  <si>
    <t>吴宏环</t>
  </si>
  <si>
    <t>吴秀萍</t>
  </si>
  <si>
    <t>罗谋国</t>
  </si>
  <si>
    <t>吴开达</t>
  </si>
  <si>
    <t>陈佳伟</t>
  </si>
  <si>
    <t>吴开飞</t>
  </si>
  <si>
    <t>罗谋象</t>
  </si>
  <si>
    <t>陶才龙</t>
  </si>
  <si>
    <t>吴馥蓝</t>
  </si>
  <si>
    <t>覃阳浩</t>
  </si>
  <si>
    <t>孔堂村</t>
  </si>
  <si>
    <t>卢瑞秋</t>
  </si>
  <si>
    <t>罗长欢</t>
  </si>
  <si>
    <t>冯燕萍</t>
  </si>
  <si>
    <t>罗谋进</t>
  </si>
  <si>
    <t>罗谋贤</t>
  </si>
  <si>
    <t>韦柳宝</t>
  </si>
  <si>
    <t>罗启树</t>
  </si>
  <si>
    <t>黄远昌</t>
  </si>
  <si>
    <t>韦秋琼</t>
  </si>
  <si>
    <t>吴秀豪</t>
  </si>
  <si>
    <t>李雪虾</t>
  </si>
  <si>
    <t>罗长定</t>
  </si>
  <si>
    <t>韦金想</t>
  </si>
  <si>
    <t>2024年2月</t>
  </si>
  <si>
    <t>韦金玉</t>
  </si>
  <si>
    <t>吴才广</t>
  </si>
  <si>
    <t>九简村</t>
  </si>
  <si>
    <t>卢荣丽</t>
  </si>
  <si>
    <t>卢荣宽</t>
  </si>
  <si>
    <t>卢爱艳</t>
  </si>
  <si>
    <t>龙婆村</t>
  </si>
  <si>
    <t>罗文燕</t>
  </si>
  <si>
    <t>罗泽纯</t>
  </si>
  <si>
    <t>罗引义</t>
  </si>
  <si>
    <t xml:space="preserve"> 平山镇 </t>
  </si>
  <si>
    <t>罗田军</t>
  </si>
  <si>
    <t>何中永</t>
  </si>
  <si>
    <t>葵莲</t>
  </si>
  <si>
    <t>罗路丝</t>
  </si>
  <si>
    <t>石龙村</t>
  </si>
  <si>
    <t>罗元</t>
  </si>
  <si>
    <t>覃丽梅</t>
  </si>
  <si>
    <t>莫怀财</t>
  </si>
  <si>
    <t>莫艳凤</t>
  </si>
  <si>
    <t>陶柳琼</t>
  </si>
  <si>
    <t>莫文君</t>
  </si>
  <si>
    <t>江旭强</t>
  </si>
  <si>
    <t>梁国龙</t>
  </si>
  <si>
    <t>况仁浩</t>
  </si>
  <si>
    <t>罗艳珍</t>
  </si>
  <si>
    <t>李家鑫</t>
  </si>
  <si>
    <t>覃俊杰</t>
  </si>
  <si>
    <t>罗泽汉</t>
  </si>
  <si>
    <t>罗泽巧</t>
  </si>
  <si>
    <t>罗蒙健</t>
  </si>
  <si>
    <t>芝山村</t>
  </si>
  <si>
    <t>莫业广</t>
  </si>
  <si>
    <t>罗祖华</t>
  </si>
  <si>
    <t>梁春凤</t>
  </si>
  <si>
    <t>陶佳雯</t>
  </si>
  <si>
    <t>陶好</t>
  </si>
  <si>
    <t>陶汉</t>
  </si>
  <si>
    <t>陶周富</t>
  </si>
  <si>
    <t>平山社区</t>
  </si>
  <si>
    <t>黄秋玲</t>
  </si>
  <si>
    <t>王昌福</t>
  </si>
  <si>
    <t>刘欢</t>
  </si>
  <si>
    <t>黄仲福</t>
  </si>
  <si>
    <t>李昌林</t>
  </si>
  <si>
    <t>黄利成</t>
  </si>
  <si>
    <t>黄芳芳</t>
  </si>
  <si>
    <t>覃黄燕</t>
  </si>
  <si>
    <t>罗冬玲</t>
  </si>
  <si>
    <t>何永彪</t>
  </si>
  <si>
    <t>覃军</t>
  </si>
  <si>
    <t>黄利林</t>
  </si>
  <si>
    <t>黄金梁</t>
  </si>
  <si>
    <t>吴开航</t>
  </si>
  <si>
    <t>中村村</t>
  </si>
  <si>
    <t>吴开建</t>
  </si>
  <si>
    <t>贵州省</t>
  </si>
  <si>
    <t>罗胜成</t>
  </si>
  <si>
    <t>罗东丽</t>
  </si>
  <si>
    <t>韦春</t>
  </si>
  <si>
    <t>罗先球</t>
  </si>
  <si>
    <t>陶松如</t>
  </si>
  <si>
    <t>重庆市</t>
  </si>
  <si>
    <t>韦荣恒</t>
  </si>
  <si>
    <t>罗长登</t>
  </si>
  <si>
    <t>罗泽富</t>
  </si>
  <si>
    <t>杨昌支</t>
  </si>
  <si>
    <t>符成兰</t>
  </si>
  <si>
    <t>罗贵</t>
  </si>
  <si>
    <t>韦建友</t>
  </si>
  <si>
    <t>韦昌富</t>
  </si>
  <si>
    <t>罗秋红</t>
  </si>
  <si>
    <t>罗秋萍</t>
  </si>
  <si>
    <t>罗顺德</t>
  </si>
  <si>
    <t>罗顺军</t>
  </si>
  <si>
    <t>罗顺文</t>
  </si>
  <si>
    <t>葵华飞</t>
  </si>
  <si>
    <t>罗长球</t>
  </si>
  <si>
    <t>吴罗东</t>
  </si>
  <si>
    <t>罗元秋</t>
  </si>
  <si>
    <t>韦小敏</t>
  </si>
  <si>
    <t>吴春荣</t>
  </si>
  <si>
    <t>罗婵娟</t>
  </si>
  <si>
    <t>罗祖恒</t>
  </si>
  <si>
    <t>韦国良</t>
  </si>
  <si>
    <t>国外</t>
  </si>
  <si>
    <t>罗贻平</t>
  </si>
  <si>
    <t>罗春云</t>
  </si>
  <si>
    <t>罗春媛</t>
  </si>
  <si>
    <t>韦生福</t>
  </si>
  <si>
    <t>韦建凡</t>
  </si>
  <si>
    <t>戴家乐</t>
  </si>
  <si>
    <t>戴建恩</t>
  </si>
  <si>
    <t>罗文斌</t>
  </si>
  <si>
    <t>罗强强</t>
  </si>
  <si>
    <t>罗彬彬</t>
  </si>
  <si>
    <t>罗谋波</t>
  </si>
  <si>
    <t>黄桂梅</t>
  </si>
  <si>
    <t>罗静文</t>
  </si>
  <si>
    <t>罗静凤</t>
  </si>
  <si>
    <t>罗祖山</t>
  </si>
  <si>
    <t>内蒙古自治区</t>
  </si>
  <si>
    <t>罗庆</t>
  </si>
  <si>
    <t>骆建礼</t>
  </si>
  <si>
    <t>覃义平</t>
  </si>
  <si>
    <t>罗长海</t>
  </si>
  <si>
    <t>邓小云</t>
  </si>
  <si>
    <t>罗鲜荣</t>
  </si>
  <si>
    <t>罗建福</t>
  </si>
  <si>
    <t>谭艳龙</t>
  </si>
  <si>
    <t>张红丽</t>
  </si>
  <si>
    <t>罗祖纳</t>
  </si>
  <si>
    <t>山东省</t>
  </si>
  <si>
    <t>罗远亮</t>
  </si>
  <si>
    <t>罗远连</t>
  </si>
  <si>
    <t>罗再明</t>
  </si>
  <si>
    <t>杨秀萍</t>
  </si>
  <si>
    <t>罗东</t>
  </si>
  <si>
    <t>李雪涛</t>
  </si>
  <si>
    <t>罗丽华</t>
  </si>
  <si>
    <t>罗建明</t>
  </si>
  <si>
    <t>罗泽辉</t>
  </si>
  <si>
    <t>罗谋礼</t>
  </si>
  <si>
    <t>罗贵仲</t>
  </si>
  <si>
    <t>罗华利</t>
  </si>
  <si>
    <t>徐彬</t>
  </si>
  <si>
    <t>罗柳英</t>
  </si>
  <si>
    <t>罗业尔</t>
  </si>
  <si>
    <t>罗东杰</t>
  </si>
  <si>
    <t>罗康瑜</t>
  </si>
  <si>
    <t>罗春华</t>
  </si>
  <si>
    <t>罗东萍</t>
  </si>
  <si>
    <t>屯秋村</t>
  </si>
  <si>
    <t>黄秋兰</t>
  </si>
  <si>
    <t>黄全英</t>
  </si>
  <si>
    <t>翁先勇</t>
  </si>
  <si>
    <t>罗彪</t>
  </si>
  <si>
    <t>覃光富</t>
  </si>
  <si>
    <t>覃光有</t>
  </si>
  <si>
    <t>卢开航</t>
  </si>
  <si>
    <t>黄荣春</t>
  </si>
  <si>
    <t>黄玉珑</t>
  </si>
  <si>
    <t>覃桥福</t>
  </si>
  <si>
    <t>覃喜亮</t>
  </si>
  <si>
    <t>苏菊清</t>
  </si>
  <si>
    <t>罗长安</t>
  </si>
  <si>
    <t>榨油村</t>
  </si>
  <si>
    <t>罗泽选</t>
  </si>
  <si>
    <t>罗长庆</t>
  </si>
  <si>
    <t>罗长平</t>
  </si>
  <si>
    <t>宋荣顺</t>
  </si>
  <si>
    <t>宋友元</t>
  </si>
  <si>
    <t>李盛萍</t>
  </si>
  <si>
    <t>覃利群</t>
  </si>
  <si>
    <t>覃光玉</t>
  </si>
  <si>
    <t>罗太玄</t>
  </si>
  <si>
    <t>罗长友</t>
  </si>
  <si>
    <t>覃贵仕</t>
  </si>
  <si>
    <t>陶万斌</t>
  </si>
  <si>
    <t>吴东林</t>
  </si>
  <si>
    <t>罗丽微</t>
  </si>
  <si>
    <t>凤开豪</t>
  </si>
  <si>
    <t>2024年1月</t>
  </si>
  <si>
    <t>罗顺燕</t>
  </si>
  <si>
    <t>罗业逍</t>
  </si>
  <si>
    <t>罗长林</t>
  </si>
  <si>
    <t>罗庆福</t>
  </si>
  <si>
    <t>罗庆全</t>
  </si>
  <si>
    <t>罗长飞</t>
  </si>
  <si>
    <t>罗长坤</t>
  </si>
  <si>
    <t>罗长权</t>
  </si>
  <si>
    <t>罗福妹</t>
  </si>
  <si>
    <t>中渡镇</t>
  </si>
  <si>
    <t>福龙村</t>
  </si>
  <si>
    <t>王孟</t>
  </si>
  <si>
    <t>陶桂莲</t>
  </si>
  <si>
    <t>廖贵德</t>
  </si>
  <si>
    <t>黄小妹</t>
  </si>
  <si>
    <t>高坡村</t>
  </si>
  <si>
    <t>刘贤欢</t>
  </si>
  <si>
    <t>陶大高</t>
  </si>
  <si>
    <t>冯庆霜</t>
  </si>
  <si>
    <t>黄兴富</t>
  </si>
  <si>
    <t>黄兴驰</t>
  </si>
  <si>
    <t>覃系强</t>
  </si>
  <si>
    <t>黄庆春</t>
  </si>
  <si>
    <t>蓝永兴</t>
  </si>
  <si>
    <t>黄丽英</t>
  </si>
  <si>
    <t>黄正军</t>
  </si>
  <si>
    <t>詹桂香</t>
  </si>
  <si>
    <t>李永清</t>
  </si>
  <si>
    <t>冯碧</t>
  </si>
  <si>
    <t>冯希革</t>
  </si>
  <si>
    <t>罗江燕</t>
  </si>
  <si>
    <t>许辉</t>
  </si>
  <si>
    <t>韦善满</t>
  </si>
  <si>
    <t>冯延成</t>
  </si>
  <si>
    <t>李永剑</t>
  </si>
  <si>
    <t>河北省</t>
  </si>
  <si>
    <t>韦敏兰</t>
  </si>
  <si>
    <t>兰光新</t>
  </si>
  <si>
    <t>冯延欢</t>
  </si>
  <si>
    <t>杨琼英</t>
  </si>
  <si>
    <t>陈琳</t>
  </si>
  <si>
    <t>刘贤帮</t>
  </si>
  <si>
    <t>石记美</t>
  </si>
  <si>
    <t>梁以欢</t>
  </si>
  <si>
    <t>2024年3月</t>
  </si>
  <si>
    <t>罗海妹</t>
  </si>
  <si>
    <t>刘贤新</t>
  </si>
  <si>
    <t>2024年6月</t>
  </si>
  <si>
    <t>黄凤珍</t>
  </si>
  <si>
    <t>刘贤庭</t>
  </si>
  <si>
    <t>兰瑞宏</t>
  </si>
  <si>
    <t>黄兴辉</t>
  </si>
  <si>
    <t>冯希付</t>
  </si>
  <si>
    <t>安徽省</t>
  </si>
  <si>
    <t>覃磊</t>
  </si>
  <si>
    <t>樊金梅</t>
  </si>
  <si>
    <t>石昌剑</t>
  </si>
  <si>
    <t>陶艳萍</t>
  </si>
  <si>
    <t>冯希云</t>
  </si>
  <si>
    <t>刘美珍</t>
  </si>
  <si>
    <t>康真真</t>
  </si>
  <si>
    <t>罗长学</t>
  </si>
  <si>
    <t>海南省</t>
  </si>
  <si>
    <t>郭永霞</t>
  </si>
  <si>
    <t>刘贤庆</t>
  </si>
  <si>
    <t>刘艳军</t>
  </si>
  <si>
    <t>刘启彪</t>
  </si>
  <si>
    <t>黄罗建</t>
  </si>
  <si>
    <t>覃花美</t>
  </si>
  <si>
    <t>石东</t>
  </si>
  <si>
    <t>韦宗英</t>
  </si>
  <si>
    <t>许春</t>
  </si>
  <si>
    <t>石艳婷</t>
  </si>
  <si>
    <t>冯希现</t>
  </si>
  <si>
    <t>罗泽林</t>
  </si>
  <si>
    <t>冯希记</t>
  </si>
  <si>
    <t>冯延章</t>
  </si>
  <si>
    <t>覃仕国</t>
  </si>
  <si>
    <t>山尖村</t>
  </si>
  <si>
    <t>覃国全</t>
  </si>
  <si>
    <t>蔡海惠</t>
  </si>
  <si>
    <t>韦定雷</t>
  </si>
  <si>
    <t>韦定鑫</t>
  </si>
  <si>
    <t>韦定璇</t>
  </si>
  <si>
    <t>韦祖飞</t>
  </si>
  <si>
    <t>韦富崇</t>
  </si>
  <si>
    <t>陶玉兰</t>
  </si>
  <si>
    <t>潘圩村</t>
  </si>
  <si>
    <t>潘庆龙</t>
  </si>
  <si>
    <t>2024年4月</t>
  </si>
  <si>
    <t>陈秋丽</t>
  </si>
  <si>
    <t>潘庆勇</t>
  </si>
  <si>
    <t>罗永波</t>
  </si>
  <si>
    <t>罗永建</t>
  </si>
  <si>
    <t>何兰德</t>
  </si>
  <si>
    <t>潘覃琳</t>
  </si>
  <si>
    <t>覃新友</t>
  </si>
  <si>
    <t>覃小菊</t>
  </si>
  <si>
    <t>龙明贵</t>
  </si>
  <si>
    <t>覃大洛</t>
  </si>
  <si>
    <t>罗帮华</t>
  </si>
  <si>
    <t>韦在强</t>
  </si>
  <si>
    <t>王凤莲</t>
  </si>
  <si>
    <t>寨上村</t>
  </si>
  <si>
    <t>钟永兴</t>
  </si>
  <si>
    <t>何为群</t>
  </si>
  <si>
    <t>韦世行</t>
  </si>
  <si>
    <t>韦德坤</t>
  </si>
  <si>
    <t>钟玉天</t>
  </si>
  <si>
    <t>钟玉应</t>
  </si>
  <si>
    <t>覃燕</t>
  </si>
  <si>
    <t>钟佩达</t>
  </si>
  <si>
    <t>钟怀飞</t>
  </si>
  <si>
    <t>钟玉普</t>
  </si>
  <si>
    <t>钟怀立</t>
  </si>
  <si>
    <t>钟佩就</t>
  </si>
  <si>
    <t>韦德刚</t>
  </si>
  <si>
    <t>钟佩良</t>
  </si>
  <si>
    <t>韦江山</t>
  </si>
  <si>
    <t>韦世训</t>
  </si>
  <si>
    <t>韦世凤</t>
  </si>
  <si>
    <t>韦世天</t>
  </si>
  <si>
    <t>韦梦韩</t>
  </si>
  <si>
    <t>韦文府</t>
  </si>
  <si>
    <t>罗泽荣</t>
  </si>
  <si>
    <t>韦定昌</t>
  </si>
  <si>
    <t>钟佩定</t>
  </si>
  <si>
    <t>钟佩志</t>
  </si>
  <si>
    <t>韦德赋</t>
  </si>
  <si>
    <t>大兆村</t>
  </si>
  <si>
    <t>骆绍平</t>
  </si>
  <si>
    <t>廖小姣</t>
  </si>
  <si>
    <t>覃雪</t>
  </si>
  <si>
    <t>覃晓</t>
  </si>
  <si>
    <t>覃秋月</t>
  </si>
  <si>
    <t>罗世权</t>
  </si>
  <si>
    <t>黄利青</t>
  </si>
  <si>
    <t>罗有成</t>
  </si>
  <si>
    <t>罗欣欣</t>
  </si>
  <si>
    <t>韦冬艳</t>
  </si>
  <si>
    <t>梁松</t>
  </si>
  <si>
    <t>覃丹衡</t>
  </si>
  <si>
    <t>韦宏彪</t>
  </si>
  <si>
    <t>覃万胜</t>
  </si>
  <si>
    <t>朝阳村</t>
  </si>
  <si>
    <t>徐小标</t>
  </si>
  <si>
    <t>赵善有</t>
  </si>
  <si>
    <t>刘德胜</t>
  </si>
  <si>
    <t>叶来明</t>
  </si>
  <si>
    <t>韦翠月</t>
  </si>
  <si>
    <t>李丽</t>
  </si>
  <si>
    <t>吴荣兑</t>
  </si>
  <si>
    <t>陈忠正</t>
  </si>
  <si>
    <t>陶丽玲</t>
  </si>
  <si>
    <t>吴宏斌</t>
  </si>
  <si>
    <t>王成敏</t>
  </si>
  <si>
    <t>卢维端</t>
  </si>
  <si>
    <t>莫京达</t>
  </si>
  <si>
    <t>徐忠华</t>
  </si>
  <si>
    <t>何秋玲</t>
  </si>
  <si>
    <t>张茅铂</t>
  </si>
  <si>
    <t>陶丽华</t>
  </si>
  <si>
    <t>冯振发</t>
  </si>
  <si>
    <t>宁木生</t>
  </si>
  <si>
    <t>张建明</t>
  </si>
  <si>
    <t>韦启东</t>
  </si>
  <si>
    <t>朱荣珍</t>
  </si>
  <si>
    <t>徐凯杰</t>
  </si>
  <si>
    <t>黄玉清</t>
  </si>
  <si>
    <t>韦罗社姣</t>
  </si>
  <si>
    <t>吴大恒</t>
  </si>
  <si>
    <t>吴大可</t>
  </si>
  <si>
    <t>黄秋爱</t>
  </si>
  <si>
    <t>罗献委</t>
  </si>
  <si>
    <t>黄诗童</t>
  </si>
  <si>
    <t>脱贫不稳定户</t>
  </si>
  <si>
    <t>余锋</t>
  </si>
  <si>
    <t>赵丽</t>
  </si>
  <si>
    <t>黄柳芳</t>
  </si>
  <si>
    <t>黄佳豪</t>
  </si>
  <si>
    <t>梁小红</t>
  </si>
  <si>
    <t>卢宇</t>
  </si>
  <si>
    <t>唐勤陆</t>
  </si>
  <si>
    <t>黄秀梅</t>
  </si>
  <si>
    <t>王才美</t>
  </si>
  <si>
    <t>邓平</t>
  </si>
  <si>
    <t>贝塘村</t>
  </si>
  <si>
    <t>覃运华</t>
  </si>
  <si>
    <t>韦柳松</t>
  </si>
  <si>
    <t>黄雪娟</t>
  </si>
  <si>
    <t>覃诗萍</t>
  </si>
  <si>
    <t>秦明胜</t>
  </si>
  <si>
    <t>韦祖长</t>
  </si>
  <si>
    <t>陶智军</t>
  </si>
  <si>
    <t>何素云</t>
  </si>
  <si>
    <t>黄腊村</t>
  </si>
  <si>
    <t>黄奇</t>
  </si>
  <si>
    <t>韦传妥</t>
  </si>
  <si>
    <t>韦传磊</t>
  </si>
  <si>
    <t>韦修闯</t>
  </si>
  <si>
    <t>韦家都</t>
  </si>
  <si>
    <t>韦家好</t>
  </si>
  <si>
    <t>张芬军</t>
  </si>
  <si>
    <t>韦双隆</t>
  </si>
  <si>
    <t>何启初</t>
  </si>
  <si>
    <t>覃显钫</t>
  </si>
  <si>
    <t>钟祥英</t>
  </si>
  <si>
    <t>韦文丽</t>
  </si>
  <si>
    <t>韦先珍</t>
  </si>
  <si>
    <t>韦莲珍</t>
  </si>
  <si>
    <t>钟金国</t>
  </si>
  <si>
    <t>韦家武</t>
  </si>
  <si>
    <t>大门村</t>
  </si>
  <si>
    <t>陈玲</t>
  </si>
  <si>
    <t>韦吉勋</t>
  </si>
  <si>
    <t>莫立钊</t>
  </si>
  <si>
    <t>廖华端</t>
  </si>
  <si>
    <t>钟映娣</t>
  </si>
  <si>
    <t>廖陈杰</t>
  </si>
  <si>
    <t>罗泽明</t>
  </si>
  <si>
    <t>张丽</t>
  </si>
  <si>
    <t>赵兴吉</t>
  </si>
  <si>
    <t>赵兴龙</t>
  </si>
  <si>
    <t>罗泽龙</t>
  </si>
  <si>
    <t>廖英满</t>
  </si>
  <si>
    <t>廖修明</t>
  </si>
  <si>
    <t>廖修才</t>
  </si>
  <si>
    <t>廖庆阳</t>
  </si>
  <si>
    <t>廖雯艳</t>
  </si>
  <si>
    <t>王义凤</t>
  </si>
  <si>
    <t>廖天昆</t>
  </si>
  <si>
    <t>廖生语</t>
  </si>
  <si>
    <t>赵福乐</t>
  </si>
  <si>
    <t>陈淑芳</t>
  </si>
  <si>
    <t>廖宏建</t>
  </si>
  <si>
    <t>廖修进</t>
  </si>
  <si>
    <t>覃玉燕</t>
  </si>
  <si>
    <t>廖英美</t>
  </si>
  <si>
    <t>陆年美</t>
  </si>
  <si>
    <t>罗琼芳</t>
  </si>
  <si>
    <t>廖金双</t>
  </si>
  <si>
    <t>廖金欢</t>
  </si>
  <si>
    <t>黄村村</t>
  </si>
  <si>
    <t>卢家平</t>
  </si>
  <si>
    <t>覃燕萍</t>
  </si>
  <si>
    <t>卢何双</t>
  </si>
  <si>
    <t>卢何宝</t>
  </si>
  <si>
    <t>卢业财</t>
  </si>
  <si>
    <t>卢日翠</t>
  </si>
  <si>
    <t>陆彩燕</t>
  </si>
  <si>
    <t>卢日道</t>
  </si>
  <si>
    <t>廖国华</t>
  </si>
  <si>
    <t>李金霖</t>
  </si>
  <si>
    <t>廖国斌</t>
  </si>
  <si>
    <t>廖张新</t>
  </si>
  <si>
    <t>蓝秀凤</t>
  </si>
  <si>
    <t>廖刚鹏</t>
  </si>
  <si>
    <t>卢日宝</t>
  </si>
  <si>
    <t>罗春燕</t>
  </si>
  <si>
    <t>廖潘静</t>
  </si>
  <si>
    <t>卢学秋</t>
  </si>
  <si>
    <t>廖燕珍</t>
  </si>
  <si>
    <t>廖红丹</t>
  </si>
  <si>
    <t>陈庆</t>
  </si>
  <si>
    <t>边缘易致贫户</t>
  </si>
  <si>
    <t>陶礼峰</t>
  </si>
  <si>
    <t>陶礼元</t>
  </si>
  <si>
    <t>廖国世</t>
  </si>
  <si>
    <t>廖忍鸾</t>
  </si>
  <si>
    <t>廖贤胜</t>
  </si>
  <si>
    <t>廖纯健</t>
  </si>
  <si>
    <t>阳秀</t>
  </si>
  <si>
    <t>卢亚珍</t>
  </si>
  <si>
    <t>卢日斌</t>
  </si>
  <si>
    <t>卢荣</t>
  </si>
  <si>
    <t>吴宏世</t>
  </si>
  <si>
    <t>河南省</t>
  </si>
  <si>
    <t>廖定锦</t>
  </si>
  <si>
    <t>廖艺</t>
  </si>
  <si>
    <t>卢日双</t>
  </si>
  <si>
    <t>廖秋玉</t>
  </si>
  <si>
    <t>廖春花</t>
  </si>
  <si>
    <t>廖春云</t>
  </si>
  <si>
    <t>李爱忠</t>
  </si>
  <si>
    <t>卢日柒</t>
  </si>
  <si>
    <t>卢耀登</t>
  </si>
  <si>
    <t>黄后良</t>
  </si>
  <si>
    <t>卢丽珍</t>
  </si>
  <si>
    <t>廖定荣</t>
  </si>
  <si>
    <t>植金兰</t>
  </si>
  <si>
    <t>莫爱菊</t>
  </si>
  <si>
    <t>卢业冲</t>
  </si>
  <si>
    <t>李章元</t>
  </si>
  <si>
    <t>陶荣勤</t>
  </si>
  <si>
    <t>韦邵美</t>
  </si>
  <si>
    <t>黄冬梅</t>
  </si>
  <si>
    <t>廖宝全</t>
  </si>
  <si>
    <t>廖巧玉</t>
  </si>
  <si>
    <t>卢剑</t>
  </si>
  <si>
    <t>廖宝鸿</t>
  </si>
  <si>
    <t>陶贵松</t>
  </si>
  <si>
    <t>陶崇斌</t>
  </si>
  <si>
    <t>陶贵耀</t>
  </si>
  <si>
    <t>兰小红</t>
  </si>
  <si>
    <t xml:space="preserve"> 长盛村</t>
  </si>
  <si>
    <t>陆佳珉</t>
  </si>
  <si>
    <t>长盛村</t>
  </si>
  <si>
    <t>陶志员</t>
  </si>
  <si>
    <t>罗凤娟</t>
  </si>
  <si>
    <t>陶运芬</t>
  </si>
  <si>
    <t>陈小龙</t>
  </si>
  <si>
    <t>韦广明</t>
  </si>
  <si>
    <t>韦富豪</t>
  </si>
  <si>
    <t>莫韦凤</t>
  </si>
  <si>
    <t>黄维洪</t>
  </si>
  <si>
    <t>黄诗国</t>
  </si>
  <si>
    <t>黄诗书</t>
  </si>
  <si>
    <t>陶新</t>
  </si>
  <si>
    <t>陶俊良</t>
  </si>
  <si>
    <t>覃健波</t>
  </si>
  <si>
    <t>英山社区</t>
  </si>
  <si>
    <t>覃气敢</t>
  </si>
  <si>
    <t>陈忠强</t>
  </si>
  <si>
    <t>徐献鹏</t>
  </si>
  <si>
    <t>赵良飞</t>
  </si>
  <si>
    <t>阳建雄</t>
  </si>
  <si>
    <t>黄楚芳</t>
  </si>
  <si>
    <t>廖梦微</t>
  </si>
  <si>
    <t>马安村</t>
  </si>
  <si>
    <t>韦于仲</t>
  </si>
  <si>
    <t>封海兰</t>
  </si>
  <si>
    <t>韦于理</t>
  </si>
  <si>
    <t>冯希正</t>
  </si>
  <si>
    <t>罗祖义</t>
  </si>
  <si>
    <t>韦敬福</t>
  </si>
  <si>
    <t>韦梦雄</t>
  </si>
  <si>
    <t>韦于华</t>
  </si>
  <si>
    <t>韦于应</t>
  </si>
  <si>
    <t>莫嘉琪</t>
  </si>
  <si>
    <t>覃大会</t>
  </si>
  <si>
    <t>游喜雪</t>
  </si>
  <si>
    <t>陶献成</t>
  </si>
  <si>
    <t>韦于科</t>
  </si>
  <si>
    <t>覃家兴</t>
  </si>
  <si>
    <t>谭雪柳</t>
  </si>
  <si>
    <t>韦于高</t>
  </si>
  <si>
    <t>罗兰群</t>
  </si>
  <si>
    <t>蒙凯</t>
  </si>
  <si>
    <t>潘丽清</t>
  </si>
  <si>
    <t>韦老七</t>
  </si>
  <si>
    <t>韦冬明</t>
  </si>
  <si>
    <t>覃陶</t>
  </si>
  <si>
    <t>覃建流</t>
  </si>
  <si>
    <t>罗强</t>
  </si>
  <si>
    <t>罗斌</t>
  </si>
  <si>
    <t>朱荣兰</t>
  </si>
  <si>
    <t>陶昌奉</t>
  </si>
  <si>
    <t>韦宇</t>
  </si>
  <si>
    <t>覃大强</t>
  </si>
  <si>
    <t>蒙世旺</t>
  </si>
  <si>
    <t>黄新甲</t>
  </si>
  <si>
    <t>韦今飞</t>
  </si>
  <si>
    <t>韦于俊</t>
  </si>
  <si>
    <t>韦芳玲</t>
  </si>
  <si>
    <t>韦夏萍</t>
  </si>
  <si>
    <t>冯红彦</t>
  </si>
  <si>
    <t>韦于幸</t>
  </si>
  <si>
    <t>黄莺</t>
  </si>
  <si>
    <t>覃慧敏</t>
  </si>
  <si>
    <t>覃德安</t>
  </si>
  <si>
    <t>覃乐军</t>
  </si>
  <si>
    <t>石墨村</t>
  </si>
  <si>
    <t>李振花</t>
  </si>
  <si>
    <t>陶韬</t>
  </si>
  <si>
    <t>罗荣贵</t>
  </si>
  <si>
    <t>覃尚童</t>
  </si>
  <si>
    <t>蒙吉昌</t>
  </si>
  <si>
    <t>谢武昌</t>
  </si>
  <si>
    <t>谭小健</t>
  </si>
  <si>
    <t>突发严重困难户</t>
  </si>
  <si>
    <t>郝海霞</t>
  </si>
  <si>
    <t>黄正雷</t>
  </si>
  <si>
    <t>陶燕菊</t>
  </si>
  <si>
    <t>黄学明</t>
  </si>
  <si>
    <t>覃上芳</t>
  </si>
  <si>
    <t>韦晓明</t>
  </si>
  <si>
    <t>韦敬欢</t>
  </si>
  <si>
    <t>秦毅</t>
  </si>
  <si>
    <t>覃言华</t>
  </si>
  <si>
    <t>覃言辉</t>
  </si>
  <si>
    <t>覃言坤</t>
  </si>
  <si>
    <t>罗洋成</t>
  </si>
  <si>
    <t>黄罗娟</t>
  </si>
  <si>
    <t>覃大顺</t>
  </si>
  <si>
    <t>罗红</t>
  </si>
  <si>
    <t>谢娇艳</t>
  </si>
  <si>
    <t>兰魏鸿</t>
  </si>
  <si>
    <t>兰魏宁</t>
  </si>
  <si>
    <t>北京市</t>
  </si>
  <si>
    <t>江口乡</t>
  </si>
  <si>
    <t>丹竹村</t>
  </si>
  <si>
    <t>张德锋</t>
  </si>
  <si>
    <t>水碾村</t>
  </si>
  <si>
    <t>沈秋月</t>
  </si>
  <si>
    <t>黄文杰</t>
  </si>
  <si>
    <t>江玉绍</t>
  </si>
  <si>
    <t>江严康</t>
  </si>
  <si>
    <t>廖福义</t>
  </si>
  <si>
    <t>莫丽丽</t>
  </si>
  <si>
    <t>新安村</t>
  </si>
  <si>
    <t>刘云</t>
  </si>
  <si>
    <t>陈勇进</t>
  </si>
  <si>
    <t>陈薇</t>
  </si>
  <si>
    <t>韦双凤</t>
  </si>
  <si>
    <t>江口村</t>
  </si>
  <si>
    <t>袁红香</t>
  </si>
  <si>
    <t>廖雄</t>
  </si>
  <si>
    <t>何宇雪</t>
  </si>
  <si>
    <t>何程东</t>
  </si>
  <si>
    <t>黄蓉芳</t>
  </si>
  <si>
    <t>覃孟文</t>
  </si>
  <si>
    <t>吴佳乐</t>
  </si>
  <si>
    <t>韦庆文</t>
  </si>
  <si>
    <t>覃立辉</t>
  </si>
  <si>
    <t>六合村</t>
  </si>
  <si>
    <t>秦韦军</t>
  </si>
  <si>
    <t>秦志权</t>
  </si>
  <si>
    <t>钟飞雄</t>
  </si>
  <si>
    <t>邱洪振</t>
  </si>
  <si>
    <t>邱洪华</t>
  </si>
  <si>
    <t>苏丕夏</t>
  </si>
  <si>
    <t>覃晓红</t>
  </si>
  <si>
    <t>韦国军</t>
  </si>
  <si>
    <t>邱小清</t>
  </si>
  <si>
    <t>邱美玲</t>
  </si>
  <si>
    <t>温超全</t>
  </si>
  <si>
    <t>覃秀爱</t>
  </si>
  <si>
    <t>关志阳</t>
  </si>
  <si>
    <t>韦玲</t>
  </si>
  <si>
    <t>关小双</t>
  </si>
  <si>
    <t>覃泽纯</t>
  </si>
  <si>
    <t>俞霜</t>
  </si>
  <si>
    <t>潘丽额</t>
  </si>
  <si>
    <t>覃晓环</t>
  </si>
  <si>
    <t>覃泽仕</t>
  </si>
  <si>
    <t>何海龙</t>
  </si>
  <si>
    <t>林雪秀</t>
  </si>
  <si>
    <t>吴世洪</t>
  </si>
  <si>
    <t>李时喜</t>
  </si>
  <si>
    <t>俞希来</t>
  </si>
  <si>
    <t>梁志杰</t>
  </si>
  <si>
    <t>邱彩红</t>
  </si>
  <si>
    <t>颜丽娥</t>
  </si>
  <si>
    <t>钟学文</t>
  </si>
  <si>
    <t>冯小洁</t>
  </si>
  <si>
    <t>王世军</t>
  </si>
  <si>
    <t>苏兴鲜</t>
  </si>
  <si>
    <t>黎玉华</t>
  </si>
  <si>
    <t>陈殷红</t>
  </si>
  <si>
    <t>黎明权</t>
  </si>
  <si>
    <t>张林德</t>
  </si>
  <si>
    <t>苏兴友</t>
  </si>
  <si>
    <t>苏丕思</t>
  </si>
  <si>
    <t>王雄师</t>
  </si>
  <si>
    <t>苏方林</t>
  </si>
  <si>
    <t>吴爱明</t>
  </si>
  <si>
    <t>刘彩凤</t>
  </si>
  <si>
    <t>潘伟娟</t>
  </si>
  <si>
    <t>巫嘉林</t>
  </si>
  <si>
    <t>苏兴亮</t>
  </si>
  <si>
    <t>苏佩峰</t>
  </si>
  <si>
    <t>苏丕全</t>
  </si>
  <si>
    <t>黎丹</t>
  </si>
  <si>
    <t>导江乡</t>
  </si>
  <si>
    <t>导江村</t>
  </si>
  <si>
    <t>卓礼慢</t>
  </si>
  <si>
    <t>卓海珍</t>
  </si>
  <si>
    <t>卓海婷</t>
  </si>
  <si>
    <t>董位尉</t>
  </si>
  <si>
    <t>杨冬燕</t>
  </si>
  <si>
    <t>梁思宁</t>
  </si>
  <si>
    <t>郭进耀</t>
  </si>
  <si>
    <t>冯伟业</t>
  </si>
  <si>
    <t>蔡振笠</t>
  </si>
  <si>
    <t>长垌村</t>
  </si>
  <si>
    <t>陈永群</t>
  </si>
  <si>
    <t>韦胜平</t>
  </si>
  <si>
    <t>石排村</t>
  </si>
  <si>
    <t>黄明</t>
  </si>
  <si>
    <t>王朝凤</t>
  </si>
  <si>
    <t>梁乾中</t>
  </si>
  <si>
    <t>古懂村</t>
  </si>
  <si>
    <t>骆俊琳</t>
  </si>
  <si>
    <t>骆依林</t>
  </si>
  <si>
    <t>骆建志</t>
  </si>
  <si>
    <t>张韦</t>
  </si>
  <si>
    <t>骆文君</t>
  </si>
  <si>
    <t>天津市</t>
  </si>
  <si>
    <t>骆文雪</t>
  </si>
  <si>
    <t>韦志雄</t>
  </si>
  <si>
    <t>黄坭村</t>
  </si>
  <si>
    <t>计小满</t>
  </si>
  <si>
    <t>李建回</t>
  </si>
  <si>
    <t>韦双林</t>
  </si>
  <si>
    <t>韦德军</t>
  </si>
  <si>
    <t>韦黄隆</t>
  </si>
  <si>
    <t>覃金强</t>
  </si>
  <si>
    <t>潘光荣</t>
  </si>
  <si>
    <t>韦凤兰</t>
  </si>
  <si>
    <t>韦志平</t>
  </si>
  <si>
    <t>谭广昌</t>
  </si>
  <si>
    <t>梁国民</t>
  </si>
  <si>
    <t>卓义泽</t>
  </si>
  <si>
    <t>2024年5月</t>
  </si>
  <si>
    <t>韦曾梅</t>
  </si>
  <si>
    <t>曾平康</t>
  </si>
  <si>
    <t>毛天光</t>
  </si>
  <si>
    <t>罗艳菊</t>
  </si>
  <si>
    <t>毛福军</t>
  </si>
  <si>
    <t>欧祖强</t>
  </si>
  <si>
    <t>覃文庆</t>
  </si>
  <si>
    <t>吴全</t>
  </si>
  <si>
    <t>袁诗英</t>
  </si>
  <si>
    <t>韦东林</t>
  </si>
  <si>
    <t>韦秋梅</t>
  </si>
  <si>
    <t>韦海飞</t>
  </si>
  <si>
    <t>寨沙镇</t>
  </si>
  <si>
    <t>河岭村</t>
  </si>
  <si>
    <t>代异枚</t>
  </si>
  <si>
    <t>刘秀敏</t>
  </si>
  <si>
    <t>何丽军</t>
  </si>
  <si>
    <t>覃尚昆</t>
  </si>
  <si>
    <t>蒙翠琼</t>
  </si>
  <si>
    <t>覃贸龙</t>
  </si>
  <si>
    <t>张树安</t>
  </si>
  <si>
    <t>张福才</t>
  </si>
  <si>
    <t>李代奇</t>
  </si>
  <si>
    <t>张美玲</t>
  </si>
  <si>
    <t>寨沙村</t>
  </si>
  <si>
    <t>叶顺庭</t>
  </si>
  <si>
    <t>丘秋欢</t>
  </si>
  <si>
    <t>丘秋丽</t>
  </si>
  <si>
    <t>丘三喜</t>
  </si>
  <si>
    <t>邱梦怀</t>
  </si>
  <si>
    <t>邱建光</t>
  </si>
  <si>
    <t>李志强</t>
  </si>
  <si>
    <t>彭国亮</t>
  </si>
  <si>
    <t>廖国剑</t>
  </si>
  <si>
    <t>古柴兴</t>
  </si>
  <si>
    <t>陈碧锋</t>
  </si>
  <si>
    <t>陈永锋</t>
  </si>
  <si>
    <t>郭庆和</t>
  </si>
  <si>
    <t>郭桂姣</t>
  </si>
  <si>
    <t>板坡村</t>
  </si>
  <si>
    <t>陈瑜</t>
  </si>
  <si>
    <t>廖慧慧</t>
  </si>
  <si>
    <t>廖明明</t>
  </si>
  <si>
    <t>杜康村</t>
  </si>
  <si>
    <t>刘日高</t>
  </si>
  <si>
    <t>唐冬连</t>
  </si>
  <si>
    <t>王鹏辉</t>
  </si>
  <si>
    <t>唐義渊</t>
  </si>
  <si>
    <t>韦四妹</t>
  </si>
  <si>
    <t>唐丽军</t>
  </si>
  <si>
    <t>唐裕江</t>
  </si>
  <si>
    <t>彭玉兰</t>
  </si>
  <si>
    <t>刘传倍</t>
  </si>
  <si>
    <t>黄春富</t>
  </si>
  <si>
    <t>古木村</t>
  </si>
  <si>
    <t>江振强</t>
  </si>
  <si>
    <t>邓建文</t>
  </si>
  <si>
    <t>邓七二</t>
  </si>
  <si>
    <t>邓建光</t>
  </si>
  <si>
    <t>陈丽梅</t>
  </si>
  <si>
    <t>郭桂军</t>
  </si>
  <si>
    <t>郭雅娟</t>
  </si>
  <si>
    <t>郭宇涛</t>
  </si>
  <si>
    <t>郭建生</t>
  </si>
  <si>
    <t>郭旺生</t>
  </si>
  <si>
    <t>郭丽燕</t>
  </si>
  <si>
    <t>邓六二</t>
  </si>
  <si>
    <t>何龙会</t>
  </si>
  <si>
    <t>黄桂芬</t>
  </si>
  <si>
    <t>何建贞</t>
  </si>
  <si>
    <t>何富斌</t>
  </si>
  <si>
    <t>江六喜</t>
  </si>
  <si>
    <t>郭秋琼</t>
  </si>
  <si>
    <t>张郭倩</t>
  </si>
  <si>
    <t>肖红星</t>
  </si>
  <si>
    <t>肖靖</t>
  </si>
  <si>
    <t>肖年桂</t>
  </si>
  <si>
    <t>郭琼兰</t>
  </si>
  <si>
    <t>郭元军</t>
  </si>
  <si>
    <t>何建玲</t>
  </si>
  <si>
    <t>何爱珠</t>
  </si>
  <si>
    <t>郭亚雄</t>
  </si>
  <si>
    <t>邓少宽</t>
  </si>
  <si>
    <t>郭志高</t>
  </si>
  <si>
    <t>郭豪</t>
  </si>
  <si>
    <t>郭爱平</t>
  </si>
  <si>
    <t>郭爱琼</t>
  </si>
  <si>
    <t>郭应娣</t>
  </si>
  <si>
    <t>徐素珍</t>
  </si>
  <si>
    <t>郭展鸿</t>
  </si>
  <si>
    <t>江志忠</t>
  </si>
  <si>
    <t>梁凤梅</t>
  </si>
  <si>
    <t>江慧</t>
  </si>
  <si>
    <t>郭善嵩</t>
  </si>
  <si>
    <t>郭志明</t>
  </si>
  <si>
    <t>郭小立</t>
  </si>
  <si>
    <t>邓献成</t>
  </si>
  <si>
    <t>何柳娟</t>
  </si>
  <si>
    <t>郭小娣</t>
  </si>
  <si>
    <t>何柳霞</t>
  </si>
  <si>
    <t>江善文</t>
  </si>
  <si>
    <t>韦雪丹</t>
  </si>
  <si>
    <t>郭友喜</t>
  </si>
  <si>
    <t>谢艳芳</t>
  </si>
  <si>
    <t>郭思思</t>
  </si>
  <si>
    <t>邓明华</t>
  </si>
  <si>
    <t>邓世杰</t>
  </si>
  <si>
    <t>何福妹</t>
  </si>
  <si>
    <t>郭海军</t>
  </si>
  <si>
    <t>郭日桥</t>
  </si>
  <si>
    <t>熊韦琴</t>
  </si>
  <si>
    <t>江志仁</t>
  </si>
  <si>
    <t>郭玉萍</t>
  </si>
  <si>
    <t>江小灵</t>
  </si>
  <si>
    <t>江志灵</t>
  </si>
  <si>
    <t>岑英华</t>
  </si>
  <si>
    <t>郭佳顺</t>
  </si>
  <si>
    <t>覃翔</t>
  </si>
  <si>
    <t>郭俊宗</t>
  </si>
  <si>
    <t>郭振斌</t>
  </si>
  <si>
    <t>何刚强</t>
  </si>
  <si>
    <t>何六云</t>
  </si>
  <si>
    <t>蒙阿娜</t>
  </si>
  <si>
    <t>江善平</t>
  </si>
  <si>
    <t>江善永</t>
  </si>
  <si>
    <t>覃海秋</t>
  </si>
  <si>
    <t>陆小花</t>
  </si>
  <si>
    <t>郭荣珍</t>
  </si>
  <si>
    <t>韦秀球</t>
  </si>
  <si>
    <t>兴等村</t>
  </si>
  <si>
    <t>李泽华</t>
  </si>
  <si>
    <t>官庄村</t>
  </si>
  <si>
    <t>闭世新</t>
  </si>
  <si>
    <t>许锦林</t>
  </si>
  <si>
    <t>许少平</t>
  </si>
  <si>
    <t>黄凤秀</t>
  </si>
  <si>
    <t>许苏帆</t>
  </si>
  <si>
    <t>陆建忠</t>
  </si>
  <si>
    <t>李家喜</t>
  </si>
  <si>
    <t>李华铃</t>
  </si>
  <si>
    <t>李石玲</t>
  </si>
  <si>
    <t>黄七四</t>
  </si>
  <si>
    <t>李日兴</t>
  </si>
  <si>
    <t>李世和</t>
  </si>
  <si>
    <t>代爱珍</t>
  </si>
  <si>
    <t>梁栋红</t>
  </si>
  <si>
    <t>梁钰</t>
  </si>
  <si>
    <t>陈莹秋</t>
  </si>
  <si>
    <t>梁栋林</t>
  </si>
  <si>
    <t>梁家春</t>
  </si>
  <si>
    <t>梁龙艳</t>
  </si>
  <si>
    <t>许亚娇</t>
  </si>
  <si>
    <t>许作琼</t>
  </si>
  <si>
    <t>许雄超</t>
  </si>
  <si>
    <t>吴美仁</t>
  </si>
  <si>
    <t>全坡村</t>
  </si>
  <si>
    <t>潘英祥</t>
  </si>
  <si>
    <t>潘康红</t>
  </si>
  <si>
    <t>林新昌</t>
  </si>
  <si>
    <t>潘勇辉</t>
  </si>
  <si>
    <t>陈耿琼</t>
  </si>
  <si>
    <t>潘志荣</t>
  </si>
  <si>
    <t>李结龙</t>
  </si>
  <si>
    <t>林美秀</t>
  </si>
  <si>
    <t>陈芳香</t>
  </si>
  <si>
    <t>潘英贵</t>
  </si>
  <si>
    <t>邱小娣</t>
  </si>
  <si>
    <t>陈贵仑</t>
  </si>
  <si>
    <t>罗秀红</t>
  </si>
  <si>
    <t>陈秀奎</t>
  </si>
  <si>
    <t>黄秀玲</t>
  </si>
  <si>
    <t>邱士逸</t>
  </si>
  <si>
    <t>陈晓琳</t>
  </si>
  <si>
    <t>廖世怀</t>
  </si>
  <si>
    <t>李建喜</t>
  </si>
  <si>
    <t>郭素英</t>
  </si>
  <si>
    <t>李慧玉</t>
  </si>
  <si>
    <t>李春明</t>
  </si>
  <si>
    <t>陈玉雯</t>
  </si>
  <si>
    <t>陈明松</t>
  </si>
  <si>
    <t>冯仁芳</t>
  </si>
  <si>
    <t>冯仁培</t>
  </si>
  <si>
    <t>卢绍边</t>
  </si>
  <si>
    <t>李远华</t>
  </si>
  <si>
    <t>刘玉琼</t>
  </si>
  <si>
    <t>李小灵</t>
  </si>
  <si>
    <t>李雨涵</t>
  </si>
  <si>
    <t>廖新凤</t>
  </si>
  <si>
    <t>陈名军</t>
  </si>
  <si>
    <t>唐官妹</t>
  </si>
  <si>
    <t>冯文锋</t>
  </si>
  <si>
    <t>戴火姣</t>
  </si>
  <si>
    <t>杨琼珍</t>
  </si>
  <si>
    <t>李国强</t>
  </si>
  <si>
    <t>陈建超</t>
  </si>
  <si>
    <t>陆琳琳</t>
  </si>
  <si>
    <t>李孟</t>
  </si>
  <si>
    <t>刘素荣</t>
  </si>
  <si>
    <t>李泽明</t>
  </si>
  <si>
    <t>李记德</t>
  </si>
  <si>
    <t>李记文</t>
  </si>
  <si>
    <t>冯柳莉</t>
  </si>
  <si>
    <t>林胜荣</t>
  </si>
  <si>
    <t>冯俊威</t>
  </si>
  <si>
    <t>李水灵</t>
  </si>
  <si>
    <t>郭露</t>
  </si>
  <si>
    <t>林翠文</t>
  </si>
  <si>
    <t>李瑞恒</t>
  </si>
  <si>
    <t>李炳涛</t>
  </si>
  <si>
    <t>李云珍</t>
  </si>
  <si>
    <t>罗树燕</t>
  </si>
  <si>
    <t>李梦伟</t>
  </si>
  <si>
    <t>潘斌华</t>
  </si>
  <si>
    <t>潘庆华</t>
  </si>
  <si>
    <t>陆爱容</t>
  </si>
  <si>
    <t>潘奇芳</t>
  </si>
  <si>
    <t>胡敏莉</t>
  </si>
  <si>
    <t>赵顺兰</t>
  </si>
  <si>
    <t>陈德华</t>
  </si>
  <si>
    <t>陈德富</t>
  </si>
  <si>
    <t>陈文艺</t>
  </si>
  <si>
    <t>古奇峰</t>
  </si>
  <si>
    <t>邓桂凤</t>
  </si>
  <si>
    <t>李家乐</t>
  </si>
  <si>
    <t>刘菊</t>
  </si>
  <si>
    <t>潘顺礼</t>
  </si>
  <si>
    <t>廖世军</t>
  </si>
  <si>
    <t>张裕俊</t>
  </si>
  <si>
    <t>陈家贵</t>
  </si>
  <si>
    <t>陈国新</t>
  </si>
  <si>
    <t>陈炳秀</t>
  </si>
  <si>
    <t>陈新秀</t>
  </si>
  <si>
    <t>林新华</t>
  </si>
  <si>
    <t>邓建荣</t>
  </si>
  <si>
    <t>邓东华</t>
  </si>
  <si>
    <t>陆仙态</t>
  </si>
  <si>
    <t>邱远</t>
  </si>
  <si>
    <t>廖喜华</t>
  </si>
  <si>
    <t>廖喜良</t>
  </si>
  <si>
    <t>陈壬辉</t>
  </si>
  <si>
    <t>杨柳鲜</t>
  </si>
  <si>
    <t>廖桂平</t>
  </si>
  <si>
    <t>张晓琪</t>
  </si>
  <si>
    <t>李远斌</t>
  </si>
  <si>
    <t>张亚贱</t>
  </si>
  <si>
    <t>李国兴</t>
  </si>
  <si>
    <t>丘敏志</t>
  </si>
  <si>
    <t>张建清</t>
  </si>
  <si>
    <t>潘世钧</t>
  </si>
  <si>
    <t>潘小斌</t>
  </si>
  <si>
    <t>林冬贵</t>
  </si>
  <si>
    <t>陈礼笙</t>
  </si>
  <si>
    <t>新疆维吾尔自治区</t>
  </si>
  <si>
    <t>廖远宏</t>
  </si>
  <si>
    <t>廖黄宇</t>
  </si>
  <si>
    <t>陈名宽</t>
  </si>
  <si>
    <t>陈桥有</t>
  </si>
  <si>
    <t>陕西省</t>
  </si>
  <si>
    <t>邓永胜</t>
  </si>
  <si>
    <t>陈军</t>
  </si>
  <si>
    <t>陈桥文</t>
  </si>
  <si>
    <t>陈大明</t>
  </si>
  <si>
    <t>黄经华</t>
  </si>
  <si>
    <t>李耀忠</t>
  </si>
  <si>
    <t>潘文辉</t>
  </si>
  <si>
    <t>冯彩龙</t>
  </si>
  <si>
    <t>冯宝华</t>
  </si>
  <si>
    <t>冯松松</t>
  </si>
  <si>
    <t>廖新贤</t>
  </si>
  <si>
    <t>陈桂平</t>
  </si>
  <si>
    <t>陈贵清</t>
  </si>
  <si>
    <t>邱世发</t>
  </si>
  <si>
    <t>肖日英</t>
  </si>
  <si>
    <t>廖文喜</t>
  </si>
  <si>
    <t>李宗杰</t>
  </si>
  <si>
    <t>李桂秀</t>
  </si>
  <si>
    <t>邓永志</t>
  </si>
  <si>
    <t>冯正文</t>
  </si>
  <si>
    <t>张贵生</t>
  </si>
  <si>
    <t>潘康顺</t>
  </si>
  <si>
    <t>潘秋荣</t>
  </si>
  <si>
    <t>潘少灵</t>
  </si>
  <si>
    <t>严海英</t>
  </si>
  <si>
    <t>陈友明</t>
  </si>
  <si>
    <t>长塘村</t>
  </si>
  <si>
    <t>陈顺才</t>
  </si>
  <si>
    <t>韦秋菊</t>
  </si>
  <si>
    <t>李世春</t>
  </si>
  <si>
    <t>黄丽辣</t>
  </si>
  <si>
    <t>板江村</t>
  </si>
  <si>
    <t>黄华军</t>
  </si>
  <si>
    <t>韦昌献</t>
  </si>
  <si>
    <t>韦明</t>
  </si>
  <si>
    <t>韦东汉</t>
  </si>
  <si>
    <t>钟立佳</t>
  </si>
  <si>
    <t>古盏村</t>
  </si>
  <si>
    <t>郭俊君</t>
  </si>
  <si>
    <t>林光飞</t>
  </si>
  <si>
    <t>李玉莲</t>
  </si>
  <si>
    <t>郭贵福</t>
  </si>
  <si>
    <t>郭日凤</t>
  </si>
  <si>
    <t>郭文科</t>
  </si>
  <si>
    <t>拉章村</t>
  </si>
  <si>
    <t>郭红兴</t>
  </si>
  <si>
    <t>邓国宽</t>
  </si>
  <si>
    <t>陆志杰</t>
  </si>
  <si>
    <t>何礼斌</t>
  </si>
  <si>
    <t>钟冬英</t>
  </si>
  <si>
    <t>何礼辉</t>
  </si>
  <si>
    <t>九敢村</t>
  </si>
  <si>
    <t>潘玉萍</t>
  </si>
  <si>
    <t>郭运喜</t>
  </si>
  <si>
    <t>郭卢海</t>
  </si>
  <si>
    <t>东马村</t>
  </si>
  <si>
    <t>吴丹华</t>
  </si>
  <si>
    <t>陈子俊</t>
  </si>
  <si>
    <t>陈贵喜</t>
  </si>
  <si>
    <t>龙江村</t>
  </si>
  <si>
    <t>邱金梅</t>
  </si>
  <si>
    <t>冯建新</t>
  </si>
  <si>
    <t>冯巧玲</t>
  </si>
  <si>
    <t>木岗村</t>
  </si>
  <si>
    <t>廖祖尚</t>
  </si>
  <si>
    <t>廖祖宪</t>
  </si>
  <si>
    <t>廖祖良</t>
  </si>
  <si>
    <t>梁维才</t>
  </si>
  <si>
    <t>梁小梅</t>
  </si>
  <si>
    <t>长田村</t>
  </si>
  <si>
    <t>韦小球</t>
  </si>
  <si>
    <t>陆仲富</t>
  </si>
  <si>
    <t>陆仲全</t>
  </si>
  <si>
    <t>韦柳和</t>
  </si>
  <si>
    <t>六往村</t>
  </si>
  <si>
    <t>杜明珍</t>
  </si>
  <si>
    <t>杜权正</t>
  </si>
  <si>
    <t>王丽霞</t>
  </si>
  <si>
    <t>林献超</t>
  </si>
  <si>
    <t>四排镇</t>
  </si>
  <si>
    <t>德占村</t>
  </si>
  <si>
    <t>周建良</t>
  </si>
  <si>
    <t>韦继峰</t>
  </si>
  <si>
    <t>韦奉玉</t>
  </si>
  <si>
    <t>覃周</t>
  </si>
  <si>
    <t>覃韦</t>
  </si>
  <si>
    <t>沈文中</t>
  </si>
  <si>
    <t>沈星璨</t>
  </si>
  <si>
    <t>沈文松</t>
  </si>
  <si>
    <t>陆四</t>
  </si>
  <si>
    <t>陈喜振</t>
  </si>
  <si>
    <t>曾德华</t>
  </si>
  <si>
    <t>冯丽秋</t>
  </si>
  <si>
    <t>覃秋香</t>
  </si>
  <si>
    <t>曾桂香</t>
  </si>
  <si>
    <t>廖宏滨</t>
  </si>
  <si>
    <t>冯启安</t>
  </si>
  <si>
    <t>陈鸿福</t>
  </si>
  <si>
    <t>韦丽花</t>
  </si>
  <si>
    <t>覃有生</t>
  </si>
  <si>
    <t>覃素珍</t>
  </si>
  <si>
    <t>许建英</t>
  </si>
  <si>
    <t>陆智勇</t>
  </si>
  <si>
    <t>陆石军</t>
  </si>
  <si>
    <t>陆艺波</t>
  </si>
  <si>
    <t>覃元乐</t>
  </si>
  <si>
    <t>覃思婷</t>
  </si>
  <si>
    <t>覃蓝鑫</t>
  </si>
  <si>
    <t>韦继勇</t>
  </si>
  <si>
    <t>陆海强</t>
  </si>
  <si>
    <t>冯贵才</t>
  </si>
  <si>
    <t>王凯娜</t>
  </si>
  <si>
    <t>陈文华</t>
  </si>
  <si>
    <t>陈冬喜</t>
  </si>
  <si>
    <t>廖瑞昌</t>
  </si>
  <si>
    <t>廖秀喜</t>
  </si>
  <si>
    <t>江南村</t>
  </si>
  <si>
    <t>覃付万</t>
  </si>
  <si>
    <t>廖爱勤</t>
  </si>
  <si>
    <t>梁启伟</t>
  </si>
  <si>
    <t>江凤莲</t>
  </si>
  <si>
    <t>梁宏恒</t>
  </si>
  <si>
    <t>梁宏武</t>
  </si>
  <si>
    <t>熊成利</t>
  </si>
  <si>
    <t>李强</t>
  </si>
  <si>
    <t>韦文棋</t>
  </si>
  <si>
    <t>韦二毛</t>
  </si>
  <si>
    <t>覃文静</t>
  </si>
  <si>
    <t>覃付解</t>
  </si>
  <si>
    <t>覃爱萍</t>
  </si>
  <si>
    <t>陆祥葵</t>
  </si>
  <si>
    <t>熊兰记</t>
  </si>
  <si>
    <t>黎俭荣</t>
  </si>
  <si>
    <t>谭耀军</t>
  </si>
  <si>
    <t>谭付花</t>
  </si>
  <si>
    <t>谭纪云</t>
  </si>
  <si>
    <t>谭良贤</t>
  </si>
  <si>
    <t>陆勇正</t>
  </si>
  <si>
    <t>覃柳</t>
  </si>
  <si>
    <t>李荣</t>
  </si>
  <si>
    <t>覃斌琳</t>
  </si>
  <si>
    <t>覃斌华</t>
  </si>
  <si>
    <t>兰美连</t>
  </si>
  <si>
    <t>谭林静</t>
  </si>
  <si>
    <t>余宾</t>
  </si>
  <si>
    <t>余朋</t>
  </si>
  <si>
    <t>覃全武</t>
  </si>
  <si>
    <t>覃尚平</t>
  </si>
  <si>
    <t>廖尚好</t>
  </si>
  <si>
    <t>廖尚红</t>
  </si>
  <si>
    <t>熊寿裕</t>
  </si>
  <si>
    <t>周巧丽</t>
  </si>
  <si>
    <t>余秋胤</t>
  </si>
  <si>
    <t>余秋玉</t>
  </si>
  <si>
    <t>黄寿安</t>
  </si>
  <si>
    <t>黄寿亮</t>
  </si>
  <si>
    <t>黄辉昌</t>
  </si>
  <si>
    <t>黎富</t>
  </si>
  <si>
    <t>覃国东</t>
  </si>
  <si>
    <t>罗爱远</t>
  </si>
  <si>
    <t>覃国飞</t>
  </si>
  <si>
    <t>刘华丽</t>
  </si>
  <si>
    <t>覃兵</t>
  </si>
  <si>
    <t>覃福寿</t>
  </si>
  <si>
    <t>梁丹凤</t>
  </si>
  <si>
    <t>黎日凤</t>
  </si>
  <si>
    <t>覃明</t>
  </si>
  <si>
    <t>周开美</t>
  </si>
  <si>
    <t>周开任</t>
  </si>
  <si>
    <t>陆梦琳</t>
  </si>
  <si>
    <t>覃富生</t>
  </si>
  <si>
    <t>覃东明</t>
  </si>
  <si>
    <t>覃玉</t>
  </si>
  <si>
    <t>谭香美</t>
  </si>
  <si>
    <t>梁斌芳</t>
  </si>
  <si>
    <t>吉云村</t>
  </si>
  <si>
    <t>闭小军</t>
  </si>
  <si>
    <t>苏美兰</t>
  </si>
  <si>
    <t>闭耀能</t>
  </si>
  <si>
    <t>闭祖堂</t>
  </si>
  <si>
    <t>闭祖球</t>
  </si>
  <si>
    <t>廖飞</t>
  </si>
  <si>
    <t>梁小妹</t>
  </si>
  <si>
    <t>梁玉凤</t>
  </si>
  <si>
    <t>覃书经</t>
  </si>
  <si>
    <t>梁好萍</t>
  </si>
  <si>
    <t>闭长德</t>
  </si>
  <si>
    <t>廖柳</t>
  </si>
  <si>
    <t>思民村</t>
  </si>
  <si>
    <t>韦源繁</t>
  </si>
  <si>
    <t>韦世良</t>
  </si>
  <si>
    <t>黄秋芝</t>
  </si>
  <si>
    <t>温柳琳</t>
  </si>
  <si>
    <t>温汉高</t>
  </si>
  <si>
    <t>韦英冬</t>
  </si>
  <si>
    <t>黄雪艳</t>
  </si>
  <si>
    <t>谢秀达</t>
  </si>
  <si>
    <t>覃译新</t>
  </si>
  <si>
    <t>谢柳林</t>
  </si>
  <si>
    <t>覃玉香</t>
  </si>
  <si>
    <t>熊建平</t>
  </si>
  <si>
    <t>韦巧睸</t>
  </si>
  <si>
    <t>韦世保</t>
  </si>
  <si>
    <t>韦敏丽</t>
  </si>
  <si>
    <t>韦世高</t>
  </si>
  <si>
    <t>韦七妹</t>
  </si>
  <si>
    <t>罗东喜</t>
  </si>
  <si>
    <t>韦世军</t>
  </si>
  <si>
    <t>谢立明</t>
  </si>
  <si>
    <t>韦秋云</t>
  </si>
  <si>
    <t>韦昌</t>
  </si>
  <si>
    <t>韦怡翔</t>
  </si>
  <si>
    <t>陶昌民</t>
  </si>
  <si>
    <t>韦传华</t>
  </si>
  <si>
    <t>韦世庚</t>
  </si>
  <si>
    <t>韦继贞</t>
  </si>
  <si>
    <t>廖喜新</t>
  </si>
  <si>
    <t>梁君菲</t>
  </si>
  <si>
    <t>谢浩明</t>
  </si>
  <si>
    <t>那当村</t>
  </si>
  <si>
    <t>韦克望</t>
  </si>
  <si>
    <t>韦仁光</t>
  </si>
  <si>
    <t>韦仁松</t>
  </si>
  <si>
    <t>韦珍秀</t>
  </si>
  <si>
    <t>冯秋萍</t>
  </si>
  <si>
    <t>韦壮元</t>
  </si>
  <si>
    <t>韦壮兵</t>
  </si>
  <si>
    <t>梁福茂</t>
  </si>
  <si>
    <t>温菊芬</t>
  </si>
  <si>
    <t>韦克友</t>
  </si>
  <si>
    <t>李彪</t>
  </si>
  <si>
    <t>梁常宁</t>
  </si>
  <si>
    <t>梁耀书</t>
  </si>
  <si>
    <t>梁临锋</t>
  </si>
  <si>
    <t>廖世云</t>
  </si>
  <si>
    <t>廖德超</t>
  </si>
  <si>
    <t>卢干徐</t>
  </si>
  <si>
    <t>卢艳玲</t>
  </si>
  <si>
    <t>卢艳兰</t>
  </si>
  <si>
    <t>韦桂萍</t>
  </si>
  <si>
    <t>梁耀林</t>
  </si>
  <si>
    <t>覃勇文</t>
  </si>
  <si>
    <t>廖明锋</t>
  </si>
  <si>
    <t>梁耀愿</t>
  </si>
  <si>
    <t>梁福台</t>
  </si>
  <si>
    <t>廖世安</t>
  </si>
  <si>
    <t>龙团村</t>
  </si>
  <si>
    <t>韦云</t>
  </si>
  <si>
    <t>韦宇宇</t>
  </si>
  <si>
    <t>朱艳香</t>
  </si>
  <si>
    <t>吴玉道</t>
  </si>
  <si>
    <t>韦文祥</t>
  </si>
  <si>
    <t>韦文阳</t>
  </si>
  <si>
    <t>韦仁军</t>
  </si>
  <si>
    <t>梁武定</t>
  </si>
  <si>
    <t>韦立海</t>
  </si>
  <si>
    <t>张柳云</t>
  </si>
  <si>
    <t>中平村</t>
  </si>
  <si>
    <t>胡志琴</t>
  </si>
  <si>
    <t>梁琪薇</t>
  </si>
  <si>
    <t>韦珍</t>
  </si>
  <si>
    <t>梁紫晗</t>
  </si>
  <si>
    <t>梁小宇</t>
  </si>
  <si>
    <t>李明俊</t>
  </si>
  <si>
    <t>韦鲜婷</t>
  </si>
  <si>
    <t>温小文</t>
  </si>
  <si>
    <t>卢伟芳</t>
  </si>
  <si>
    <t>莫兆恒</t>
  </si>
  <si>
    <t>梁才喜</t>
  </si>
  <si>
    <t>温全德</t>
  </si>
  <si>
    <t>田良权</t>
  </si>
  <si>
    <t>西藏自治区</t>
  </si>
  <si>
    <t>田忠权</t>
  </si>
  <si>
    <t>水头村</t>
  </si>
  <si>
    <t>蒋福琼</t>
  </si>
  <si>
    <t>潘德心</t>
  </si>
  <si>
    <t>潘珍凤</t>
  </si>
  <si>
    <t>潘正健</t>
  </si>
  <si>
    <t>潘正祥</t>
  </si>
  <si>
    <t>潘秀华</t>
  </si>
  <si>
    <t>潘正耐</t>
  </si>
  <si>
    <t>潘伟林</t>
  </si>
  <si>
    <t>梁喜仁</t>
  </si>
  <si>
    <t>潘美丽</t>
  </si>
  <si>
    <t>潘祖宽</t>
  </si>
  <si>
    <t>梁平</t>
  </si>
  <si>
    <t>潘荣凡</t>
  </si>
  <si>
    <t>卢雯雯</t>
  </si>
  <si>
    <t>潘妮</t>
  </si>
  <si>
    <t>赵本祥</t>
  </si>
  <si>
    <t>潘金隆</t>
  </si>
  <si>
    <t>梁仕平</t>
  </si>
  <si>
    <t>罗凤平</t>
  </si>
  <si>
    <t>梁钦城</t>
  </si>
  <si>
    <t>梁钦玉</t>
  </si>
  <si>
    <t>卢义春</t>
  </si>
  <si>
    <t>韦耀富</t>
  </si>
  <si>
    <t>蒋丽平</t>
  </si>
  <si>
    <t>韦耀贵</t>
  </si>
  <si>
    <t>潘德先</t>
  </si>
  <si>
    <t>潘金勇</t>
  </si>
  <si>
    <t>赵倩</t>
  </si>
  <si>
    <t>吴沼漾</t>
  </si>
  <si>
    <t>潘柄文</t>
  </si>
  <si>
    <t>梁伟金</t>
  </si>
  <si>
    <t>廖秋梅</t>
  </si>
  <si>
    <t>梁梅丹</t>
  </si>
  <si>
    <t>梁丽林</t>
  </si>
  <si>
    <t>潘锋</t>
  </si>
  <si>
    <t>廖艳萍</t>
  </si>
  <si>
    <t>廖义贵</t>
  </si>
  <si>
    <t>李玲</t>
  </si>
  <si>
    <t>韦祖友</t>
  </si>
  <si>
    <t>韦祖罗</t>
  </si>
  <si>
    <t>韦祖庆</t>
  </si>
  <si>
    <t>梁首国</t>
  </si>
  <si>
    <t>卢干文</t>
  </si>
  <si>
    <t>梁华福</t>
  </si>
  <si>
    <t>卢干禄</t>
  </si>
  <si>
    <t>梁东庚</t>
  </si>
  <si>
    <t>潘大平</t>
  </si>
  <si>
    <t xml:space="preserve">潘芬香 </t>
  </si>
  <si>
    <t>潘新新</t>
  </si>
  <si>
    <t>潘宏雄</t>
  </si>
  <si>
    <t>潘节节</t>
  </si>
  <si>
    <t>韦祖权</t>
  </si>
  <si>
    <t>韦祖业</t>
  </si>
  <si>
    <t>卢干芳</t>
  </si>
  <si>
    <t>潘大庚</t>
  </si>
  <si>
    <t>潘世娟</t>
  </si>
  <si>
    <t>韦凤芳</t>
  </si>
  <si>
    <t>潘荣希</t>
  </si>
  <si>
    <t>潘富江</t>
  </si>
  <si>
    <t>潘桂中</t>
  </si>
  <si>
    <t>莫小枝</t>
  </si>
  <si>
    <t>潘华喜</t>
  </si>
  <si>
    <t>潘华欢</t>
  </si>
  <si>
    <t>吴多玲</t>
  </si>
  <si>
    <t>闭平花</t>
  </si>
  <si>
    <t>潘洪方</t>
  </si>
  <si>
    <t>韦红梦</t>
  </si>
  <si>
    <t>廖义先</t>
  </si>
  <si>
    <t>梁礼龙</t>
  </si>
  <si>
    <t>韦干杰</t>
  </si>
  <si>
    <t>韦继俊</t>
  </si>
  <si>
    <t>覃嫦</t>
  </si>
  <si>
    <t>潘世兵</t>
  </si>
  <si>
    <t>梁家陆</t>
  </si>
  <si>
    <t>兰英芬</t>
  </si>
  <si>
    <t>潘祖帅</t>
  </si>
  <si>
    <t>潘正波</t>
  </si>
  <si>
    <t>潘正宁</t>
  </si>
  <si>
    <t>梁耀新</t>
  </si>
  <si>
    <t>梁耀吉</t>
  </si>
  <si>
    <t>梁耀宏</t>
  </si>
  <si>
    <t>曾红</t>
  </si>
  <si>
    <t xml:space="preserve">卢贤民 </t>
  </si>
  <si>
    <t>卢尚茂</t>
  </si>
  <si>
    <t>卢喜花</t>
  </si>
  <si>
    <t>廖礼平</t>
  </si>
  <si>
    <t>黄春梅</t>
  </si>
  <si>
    <t>廖恩</t>
  </si>
  <si>
    <t>潘荣弟</t>
  </si>
  <si>
    <t>罗小东</t>
  </si>
  <si>
    <t>梁明松</t>
  </si>
  <si>
    <t>梁富国</t>
  </si>
  <si>
    <t>潘荣干</t>
  </si>
  <si>
    <t>梁喜荣</t>
  </si>
  <si>
    <t>梁佳贵</t>
  </si>
  <si>
    <t>梁贻军</t>
  </si>
  <si>
    <t>梁燕超</t>
  </si>
  <si>
    <t>梁彩萍</t>
  </si>
  <si>
    <t>梁荣生</t>
  </si>
  <si>
    <t>潘祖权</t>
  </si>
  <si>
    <t>梁诗会</t>
  </si>
  <si>
    <t>廖礼红</t>
  </si>
  <si>
    <t>潘鸾秀</t>
  </si>
  <si>
    <t>姚桂群</t>
  </si>
  <si>
    <t>潘大坤</t>
  </si>
  <si>
    <t>潘显玉</t>
  </si>
  <si>
    <t>潘小露</t>
  </si>
  <si>
    <t>韦彩春</t>
  </si>
  <si>
    <t>潘丽珍</t>
  </si>
  <si>
    <t>邢纪洪</t>
  </si>
  <si>
    <t>潘修成</t>
  </si>
  <si>
    <t>潘修亮</t>
  </si>
  <si>
    <t>潘华梅</t>
  </si>
  <si>
    <t>潘荣梅</t>
  </si>
  <si>
    <t>梁庭</t>
  </si>
  <si>
    <t>梁金皓</t>
  </si>
  <si>
    <t>潘子丽</t>
  </si>
  <si>
    <t>廖义德</t>
  </si>
  <si>
    <t>徐利梅</t>
  </si>
  <si>
    <t>潘强</t>
  </si>
  <si>
    <t>潘冬兰</t>
  </si>
  <si>
    <t>廖艳花</t>
  </si>
  <si>
    <t>王妹相</t>
  </si>
  <si>
    <t>潘珍丽</t>
  </si>
  <si>
    <t>黄创龙</t>
  </si>
  <si>
    <t>白合村</t>
  </si>
  <si>
    <t>韦庆浩</t>
  </si>
  <si>
    <t>梁鹏程</t>
  </si>
  <si>
    <t>温栋日</t>
  </si>
  <si>
    <t>温希震</t>
  </si>
  <si>
    <t>沈凡超</t>
  </si>
  <si>
    <t>江周全</t>
  </si>
  <si>
    <t>江周成</t>
  </si>
  <si>
    <t>三排村</t>
  </si>
  <si>
    <t>韦自旺</t>
  </si>
  <si>
    <t>韦树华</t>
  </si>
  <si>
    <t>韦德福</t>
  </si>
  <si>
    <t>韦益军</t>
  </si>
  <si>
    <t>黄李红</t>
  </si>
  <si>
    <t>韦丽丽</t>
  </si>
  <si>
    <t>吴大全</t>
  </si>
  <si>
    <t>吴大双</t>
  </si>
  <si>
    <t>韦祖江</t>
  </si>
  <si>
    <t>周丽苹</t>
  </si>
  <si>
    <t>韦恋萍</t>
  </si>
  <si>
    <t>韦善法</t>
  </si>
  <si>
    <t>韦自勇</t>
  </si>
  <si>
    <t>韦祖达</t>
  </si>
  <si>
    <t>韦桥秀</t>
  </si>
  <si>
    <t>韦磊</t>
  </si>
  <si>
    <t>卢干福</t>
  </si>
  <si>
    <t>韦巧丽</t>
  </si>
  <si>
    <t>韦祖善</t>
  </si>
  <si>
    <t>梁彩群</t>
  </si>
  <si>
    <t>韦大宁</t>
  </si>
  <si>
    <t>廖小英</t>
  </si>
  <si>
    <t>韦德龙</t>
  </si>
  <si>
    <t>韦立波</t>
  </si>
  <si>
    <t>韦立任</t>
  </si>
  <si>
    <t>韦明香</t>
  </si>
  <si>
    <t>韦海凤</t>
  </si>
  <si>
    <t>廖报超</t>
  </si>
  <si>
    <t>韦先标</t>
  </si>
  <si>
    <t>韦艳萍</t>
  </si>
  <si>
    <t>韦志读</t>
  </si>
  <si>
    <t>泰国</t>
  </si>
  <si>
    <t>陈荣俊</t>
  </si>
  <si>
    <t>韦玉欢</t>
  </si>
  <si>
    <t>韦瑜</t>
  </si>
  <si>
    <t>韦爱兰</t>
  </si>
  <si>
    <t>韦健平</t>
  </si>
  <si>
    <t>韦海秋</t>
  </si>
  <si>
    <t>韦名高</t>
  </si>
  <si>
    <t>韦龙</t>
  </si>
  <si>
    <t>韦文龙</t>
  </si>
  <si>
    <t>韦美红</t>
  </si>
  <si>
    <t>韦金艳</t>
  </si>
  <si>
    <t>戴军发</t>
  </si>
  <si>
    <t>廖至飞</t>
  </si>
  <si>
    <t>龙开富</t>
  </si>
  <si>
    <t>韦林青</t>
  </si>
  <si>
    <t>韦林升</t>
  </si>
  <si>
    <t>温芳芳</t>
  </si>
  <si>
    <t>廖忠华</t>
  </si>
  <si>
    <t>潘君宝</t>
  </si>
  <si>
    <t>范丽红</t>
  </si>
  <si>
    <t>冯吉专</t>
  </si>
  <si>
    <t>韦敏德</t>
  </si>
  <si>
    <t>韦平德</t>
  </si>
  <si>
    <t>韦淑萍</t>
  </si>
  <si>
    <t>韦建莹</t>
  </si>
  <si>
    <t>马龙村</t>
  </si>
  <si>
    <t>韦芳艳</t>
  </si>
  <si>
    <t>黄桂才</t>
  </si>
  <si>
    <t>韦昌伍</t>
  </si>
  <si>
    <t>陈丽丽</t>
  </si>
  <si>
    <t>黄玉</t>
  </si>
  <si>
    <t>袁正宝</t>
  </si>
  <si>
    <t>韦继斌</t>
  </si>
  <si>
    <t>阳礼军</t>
  </si>
  <si>
    <t>韦晓菊</t>
  </si>
  <si>
    <t>袁柒</t>
  </si>
  <si>
    <t>雷青青</t>
  </si>
  <si>
    <t>梁勇</t>
  </si>
  <si>
    <t>韦道学</t>
  </si>
  <si>
    <t>韦福昌</t>
  </si>
  <si>
    <t>游赞</t>
  </si>
  <si>
    <t>梁尚龙</t>
  </si>
  <si>
    <t>梁尚福</t>
  </si>
  <si>
    <t>覃文舒</t>
  </si>
  <si>
    <t>韦恋菲</t>
  </si>
  <si>
    <t>梁尚飞</t>
  </si>
  <si>
    <t>韦继高</t>
  </si>
  <si>
    <t>梁梦箕</t>
  </si>
  <si>
    <t>梁梦新</t>
  </si>
  <si>
    <t>新庆村</t>
  </si>
  <si>
    <t>罗琴</t>
  </si>
  <si>
    <t>陆朝海</t>
  </si>
  <si>
    <t>梁玉勤</t>
  </si>
  <si>
    <t>韦林莉</t>
  </si>
  <si>
    <t>罗定喜</t>
  </si>
  <si>
    <t>罗定国</t>
  </si>
  <si>
    <t>罗富</t>
  </si>
  <si>
    <t>梁凡坤</t>
  </si>
  <si>
    <t>梁凡权</t>
  </si>
  <si>
    <t>廖乃国</t>
  </si>
  <si>
    <t>廖乃年</t>
  </si>
  <si>
    <t>罗云山</t>
  </si>
  <si>
    <t>廖绿香</t>
  </si>
  <si>
    <t>廖文权</t>
  </si>
  <si>
    <t>罗传贵</t>
  </si>
  <si>
    <t>四排村</t>
  </si>
  <si>
    <t>韦仪山</t>
  </si>
  <si>
    <t>韦朝文</t>
  </si>
  <si>
    <t>韦朝鹏</t>
  </si>
  <si>
    <t>徐贵生</t>
  </si>
  <si>
    <t>韦红</t>
  </si>
  <si>
    <t>谢柳宗</t>
  </si>
  <si>
    <t>罗秋丽</t>
  </si>
  <si>
    <t>谢杲琪</t>
  </si>
  <si>
    <t>谢然宗</t>
  </si>
  <si>
    <t>谢杲华</t>
  </si>
  <si>
    <t>何慧姬</t>
  </si>
  <si>
    <t>袁霜</t>
  </si>
  <si>
    <t>徐浩添</t>
  </si>
  <si>
    <t>徐小雯</t>
  </si>
  <si>
    <t>韦贞瑜</t>
  </si>
  <si>
    <t>韦连凤</t>
  </si>
  <si>
    <t>温美玲</t>
  </si>
  <si>
    <t>韦静</t>
  </si>
  <si>
    <t>韦甜甜</t>
  </si>
  <si>
    <t>韦小航</t>
  </si>
  <si>
    <t>韦仪兴</t>
  </si>
  <si>
    <t>韦仁建</t>
  </si>
  <si>
    <t>韦海诚</t>
  </si>
  <si>
    <t>韦丽华</t>
  </si>
  <si>
    <t>韦尊毅</t>
  </si>
  <si>
    <t>谢韦师</t>
  </si>
  <si>
    <t>谢熊忠</t>
  </si>
  <si>
    <t>兰海芳</t>
  </si>
  <si>
    <t>余洁</t>
  </si>
  <si>
    <t>韦海周</t>
  </si>
  <si>
    <t>韦彩凤</t>
  </si>
  <si>
    <t>和木村</t>
  </si>
  <si>
    <t>何广财</t>
  </si>
  <si>
    <t>陈善稳</t>
  </si>
  <si>
    <t>何军书</t>
  </si>
  <si>
    <t>温桥亮</t>
  </si>
  <si>
    <t>石妙村</t>
  </si>
  <si>
    <t>韦彪</t>
  </si>
  <si>
    <t>韦仕引</t>
  </si>
  <si>
    <t>卢干木</t>
  </si>
  <si>
    <t>韦仕吉</t>
  </si>
  <si>
    <t>韦桥新</t>
  </si>
  <si>
    <t>韦保益</t>
  </si>
  <si>
    <t>韦昌利</t>
  </si>
  <si>
    <t>韦利勤</t>
  </si>
  <si>
    <t>泗湖村</t>
  </si>
  <si>
    <t>韦斯婷</t>
  </si>
  <si>
    <t>韦丹妮</t>
  </si>
  <si>
    <t>罗小金</t>
  </si>
  <si>
    <t>廖玉平</t>
  </si>
  <si>
    <t>罗寿宇</t>
  </si>
  <si>
    <t>罗金爱</t>
  </si>
  <si>
    <t>梁圆</t>
  </si>
  <si>
    <t>梁玫芬</t>
  </si>
  <si>
    <t>何云珍</t>
  </si>
  <si>
    <t>梁恩家</t>
  </si>
  <si>
    <t>韦凤</t>
  </si>
  <si>
    <t>梁臻忠</t>
  </si>
  <si>
    <t>梁宝忠</t>
  </si>
  <si>
    <t>梁玉锋</t>
  </si>
  <si>
    <t>梁秋芳</t>
  </si>
  <si>
    <t>罗永永</t>
  </si>
  <si>
    <t>罗永新</t>
  </si>
  <si>
    <t>梁安</t>
  </si>
  <si>
    <t>梁依丽</t>
  </si>
  <si>
    <t>罗远益</t>
  </si>
  <si>
    <t>甘秋艳</t>
  </si>
  <si>
    <t>甘秀艳</t>
  </si>
  <si>
    <t>梁东艳</t>
  </si>
  <si>
    <t>梁群庄</t>
  </si>
  <si>
    <t>拉沟乡</t>
  </si>
  <si>
    <t>六章村</t>
  </si>
  <si>
    <t>黄凯斌</t>
  </si>
  <si>
    <t>谢淑珍</t>
  </si>
  <si>
    <t>韦建昌</t>
  </si>
  <si>
    <t>梁翠琼</t>
  </si>
  <si>
    <t>张红星</t>
  </si>
  <si>
    <t>韦祖保</t>
  </si>
  <si>
    <t>戴宝常</t>
  </si>
  <si>
    <t>覃小龙</t>
  </si>
  <si>
    <t>大坪村</t>
  </si>
  <si>
    <t>赵海军</t>
  </si>
  <si>
    <t>冯春凤</t>
  </si>
  <si>
    <t>冯春茂</t>
  </si>
  <si>
    <t>民主村</t>
  </si>
  <si>
    <t>张志华</t>
  </si>
  <si>
    <t>韦明艳</t>
  </si>
  <si>
    <t>石胜师</t>
  </si>
  <si>
    <t>戴金华</t>
  </si>
  <si>
    <t>戴志芳</t>
  </si>
  <si>
    <t>戴志杰</t>
  </si>
  <si>
    <t>黄小平</t>
  </si>
  <si>
    <t>戴建平</t>
  </si>
  <si>
    <t>戴德才</t>
  </si>
  <si>
    <t>关江村</t>
  </si>
  <si>
    <t>邓才明</t>
  </si>
  <si>
    <t>莫廖然</t>
  </si>
  <si>
    <t>木龙村</t>
  </si>
  <si>
    <t>郭木胜</t>
  </si>
  <si>
    <t>韦慧敏</t>
  </si>
  <si>
    <t>张仲宣</t>
  </si>
  <si>
    <t>古繁兵</t>
  </si>
  <si>
    <t>背塘村</t>
  </si>
  <si>
    <t>林连凤</t>
  </si>
  <si>
    <t>吴顺聪</t>
  </si>
  <si>
    <t>何意</t>
  </si>
  <si>
    <t>李小平</t>
  </si>
  <si>
    <t>吴茂坤</t>
  </si>
  <si>
    <t>余海勤</t>
  </si>
  <si>
    <t>何春发</t>
  </si>
  <si>
    <t>吴华斌</t>
  </si>
  <si>
    <t>何秋喜</t>
  </si>
  <si>
    <t>韦昆仑</t>
  </si>
  <si>
    <t>刘艳明</t>
  </si>
  <si>
    <t>韦爱萍</t>
  </si>
  <si>
    <t>戴新艳</t>
  </si>
  <si>
    <t>戴恩来</t>
  </si>
  <si>
    <t>韦庆春</t>
  </si>
  <si>
    <t>陈燕仁</t>
  </si>
  <si>
    <t>何记常</t>
  </si>
  <si>
    <t>何接兴</t>
  </si>
  <si>
    <t>肖志光</t>
  </si>
  <si>
    <t>余春锋</t>
  </si>
  <si>
    <t>韦建章</t>
  </si>
  <si>
    <t>韦荣奎</t>
  </si>
  <si>
    <t>黄桂花</t>
  </si>
  <si>
    <t>韦秋慧</t>
  </si>
  <si>
    <t>韦阳阳</t>
  </si>
  <si>
    <t>王爱球</t>
  </si>
  <si>
    <t>何燕妮</t>
  </si>
  <si>
    <t>拉沟村</t>
  </si>
  <si>
    <t>戴景希</t>
  </si>
  <si>
    <t>黎桂金</t>
  </si>
  <si>
    <t>戴卫怀</t>
  </si>
  <si>
    <t>戴玉玲</t>
  </si>
  <si>
    <t>戴永峰</t>
  </si>
  <si>
    <t>澳门特别行政区</t>
  </si>
  <si>
    <t>盘结妹</t>
  </si>
  <si>
    <t>戴柳丹</t>
  </si>
  <si>
    <t>戴运连</t>
  </si>
  <si>
    <t>戴思林</t>
  </si>
  <si>
    <t>戴运明</t>
  </si>
  <si>
    <t>郭桂琼</t>
  </si>
  <si>
    <t>刘三凤</t>
  </si>
  <si>
    <t>韦丹</t>
  </si>
  <si>
    <t>郭勇林</t>
  </si>
  <si>
    <t>黄小粉</t>
  </si>
  <si>
    <t>赖天贵</t>
  </si>
  <si>
    <t>赖天明</t>
  </si>
  <si>
    <t>赖庆龙</t>
  </si>
  <si>
    <t>黄凤玲</t>
  </si>
  <si>
    <t>赖建军</t>
  </si>
  <si>
    <t>赖日桂</t>
  </si>
  <si>
    <t>赖荣财</t>
  </si>
  <si>
    <t>赖水清</t>
  </si>
  <si>
    <t>陈群珍</t>
  </si>
  <si>
    <t>赖天球</t>
  </si>
  <si>
    <t>赖天山</t>
  </si>
  <si>
    <t>李世浩</t>
  </si>
  <si>
    <t>李世龙</t>
  </si>
  <si>
    <t>李世平</t>
  </si>
  <si>
    <t>李建芳</t>
  </si>
  <si>
    <t>李桂芳</t>
  </si>
  <si>
    <t>林奇发</t>
  </si>
  <si>
    <t>林振姣</t>
  </si>
  <si>
    <t>刘贵华</t>
  </si>
  <si>
    <t>刘贵军</t>
  </si>
  <si>
    <t>温巧丽</t>
  </si>
  <si>
    <t>陆天良</t>
  </si>
  <si>
    <t>陆燕青</t>
  </si>
  <si>
    <t>邱建生</t>
  </si>
  <si>
    <t>覃秀鸾</t>
  </si>
  <si>
    <t>韦鸾凤</t>
  </si>
  <si>
    <t>韦健君</t>
  </si>
  <si>
    <t>韦世红</t>
  </si>
  <si>
    <t>黄丽燕</t>
  </si>
  <si>
    <t>韦敏</t>
  </si>
  <si>
    <t>韦建忠</t>
  </si>
  <si>
    <t>韦世凯</t>
  </si>
  <si>
    <t>冯克妹</t>
  </si>
  <si>
    <t>韦万宣</t>
  </si>
  <si>
    <t>肖世燕</t>
  </si>
  <si>
    <t>温肖帅州</t>
  </si>
  <si>
    <t>温金土</t>
  </si>
  <si>
    <t>温丽萍</t>
  </si>
  <si>
    <t>温石贤</t>
  </si>
  <si>
    <t>陆柳平</t>
  </si>
  <si>
    <t>杨建民</t>
  </si>
  <si>
    <t>杨帮志</t>
  </si>
  <si>
    <t>张闻立</t>
  </si>
  <si>
    <t>陆礼远</t>
  </si>
  <si>
    <t>韦立灿</t>
  </si>
  <si>
    <t>郭文学</t>
  </si>
  <si>
    <t>赵化化</t>
  </si>
  <si>
    <t>刘耀增</t>
  </si>
  <si>
    <t>戴爱芬</t>
  </si>
  <si>
    <t>韦刘特</t>
  </si>
  <si>
    <t>韦刘港</t>
  </si>
  <si>
    <t>戴民冬</t>
  </si>
  <si>
    <t>温连飞</t>
  </si>
  <si>
    <t>谢年香</t>
  </si>
  <si>
    <t>郭文标</t>
  </si>
  <si>
    <t>戴业庆</t>
  </si>
  <si>
    <t>陈石凤</t>
  </si>
  <si>
    <t>戴石旺</t>
  </si>
  <si>
    <t>郭田辉</t>
  </si>
  <si>
    <t>郭田琼</t>
  </si>
  <si>
    <t>罗英</t>
  </si>
  <si>
    <t>李杰</t>
  </si>
  <si>
    <t>陆西权</t>
  </si>
  <si>
    <t>王爱华</t>
  </si>
  <si>
    <t>郭日鲜</t>
  </si>
  <si>
    <t>郭国正</t>
  </si>
  <si>
    <t>韦超</t>
  </si>
  <si>
    <t>韦赵生</t>
  </si>
  <si>
    <t>杨云燕</t>
  </si>
  <si>
    <t>韦志全</t>
  </si>
  <si>
    <t>韦世建</t>
  </si>
  <si>
    <t>陆风军</t>
  </si>
  <si>
    <t>鹿寨镇</t>
  </si>
  <si>
    <t>龙坪村</t>
  </si>
  <si>
    <t>沈德洋</t>
  </si>
  <si>
    <t>独羊村</t>
  </si>
  <si>
    <t>黄文剑</t>
  </si>
  <si>
    <t>韦春燕</t>
  </si>
  <si>
    <t>新村村</t>
  </si>
  <si>
    <t>韦璇</t>
  </si>
  <si>
    <t>角塘村</t>
  </si>
  <si>
    <t>潘海发</t>
  </si>
  <si>
    <t>大村村</t>
  </si>
  <si>
    <t>潘淑芬</t>
  </si>
  <si>
    <t>张天友</t>
  </si>
  <si>
    <t>黎龙强</t>
  </si>
  <si>
    <t>新胜村</t>
  </si>
  <si>
    <t>戴新凤</t>
  </si>
  <si>
    <t>韦宁</t>
  </si>
  <si>
    <t>黄财琼</t>
  </si>
  <si>
    <t>韦真福</t>
  </si>
  <si>
    <t>覃兆祯</t>
  </si>
  <si>
    <t>潘德敏</t>
  </si>
  <si>
    <t>窑上村</t>
  </si>
  <si>
    <t>韦新安</t>
  </si>
  <si>
    <t>周柳刚</t>
  </si>
  <si>
    <t>潘运和</t>
  </si>
  <si>
    <t>潘宏昌</t>
  </si>
  <si>
    <t>俄洲村</t>
  </si>
  <si>
    <t>廖胡舒婷</t>
  </si>
  <si>
    <t>廖张健</t>
  </si>
  <si>
    <t>思贤村</t>
  </si>
  <si>
    <t>韦文凯</t>
  </si>
  <si>
    <t>廖柳芬</t>
  </si>
  <si>
    <t>大良村</t>
  </si>
  <si>
    <t>易云梅</t>
  </si>
  <si>
    <t>冯千雅</t>
  </si>
  <si>
    <t>石路村</t>
  </si>
  <si>
    <t>莫小娜</t>
  </si>
  <si>
    <t>潘成志</t>
  </si>
  <si>
    <t>龙田村</t>
  </si>
  <si>
    <t>覃庆金</t>
  </si>
  <si>
    <t>周华军</t>
  </si>
  <si>
    <t>王泽建</t>
  </si>
  <si>
    <t>甘肃省</t>
  </si>
  <si>
    <t>廖文文</t>
  </si>
  <si>
    <t>廖文英</t>
  </si>
  <si>
    <t>徐佳燕</t>
  </si>
  <si>
    <t>韦罗杰</t>
  </si>
  <si>
    <t>张荣华</t>
  </si>
  <si>
    <t>梁军</t>
  </si>
  <si>
    <t>莫凤华</t>
  </si>
  <si>
    <t>李康</t>
  </si>
  <si>
    <t>合计金额（元）</t>
  </si>
  <si>
    <t>省份名</t>
  </si>
  <si>
    <t>补助标准</t>
  </si>
  <si>
    <t>专列补助标准</t>
  </si>
  <si>
    <t>青海省</t>
  </si>
  <si>
    <t>山西省</t>
  </si>
  <si>
    <t>黑龙江省</t>
  </si>
  <si>
    <t>吉林省</t>
  </si>
  <si>
    <t>辽宁省</t>
  </si>
  <si>
    <t>宁夏回族自治区</t>
  </si>
  <si>
    <t>香港特别行政区</t>
  </si>
  <si>
    <t>台湾省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</si>
</sst>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quot;年&quot;m&quot;月&quot;;@"/>
  </numFmts>
  <fonts count="34">
    <font>
      <sz val="12"/>
      <name val="宋体"/>
      <charset val="134"/>
    </font>
    <font>
      <sz val="11"/>
      <color theme="1"/>
      <name val="宋体"/>
      <charset val="134"/>
      <scheme val="minor"/>
    </font>
    <font>
      <sz val="11"/>
      <name val="宋体"/>
      <charset val="134"/>
      <scheme val="minor"/>
    </font>
    <font>
      <sz val="14"/>
      <name val="宋体"/>
      <charset val="134"/>
    </font>
    <font>
      <sz val="14"/>
      <color rgb="FFFF0000"/>
      <name val="宋体"/>
      <charset val="134"/>
    </font>
    <font>
      <sz val="14"/>
      <name val="宋体"/>
      <charset val="134"/>
      <scheme val="minor"/>
    </font>
    <font>
      <sz val="28"/>
      <name val="宋体"/>
      <charset val="134"/>
    </font>
    <font>
      <b/>
      <sz val="12"/>
      <name val="宋体"/>
      <charset val="134"/>
    </font>
    <font>
      <b/>
      <sz val="14"/>
      <name val="宋体"/>
      <charset val="134"/>
    </font>
    <font>
      <sz val="14"/>
      <name val="宋体"/>
      <charset val="134"/>
      <scheme val="major"/>
    </font>
    <font>
      <sz val="14"/>
      <name val="仿宋_GB2312"/>
      <charset val="134"/>
    </font>
    <font>
      <sz val="11"/>
      <name val="宋体"/>
      <charset val="134"/>
    </font>
    <font>
      <sz val="14"/>
      <color theme="1"/>
      <name val="宋体"/>
      <charset val="134"/>
    </font>
    <font>
      <sz val="14"/>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0"/>
      <name val="Arial"/>
      <charset val="0"/>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1"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1"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9" borderId="7"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7" fillId="11" borderId="0" applyNumberFormat="0" applyBorder="0" applyAlignment="0" applyProtection="0">
      <alignment vertical="center"/>
    </xf>
    <xf numFmtId="0" fontId="20" fillId="0" borderId="9" applyNumberFormat="0" applyFill="0" applyAlignment="0" applyProtection="0">
      <alignment vertical="center"/>
    </xf>
    <xf numFmtId="0" fontId="17" fillId="12" borderId="0" applyNumberFormat="0" applyBorder="0" applyAlignment="0" applyProtection="0">
      <alignment vertical="center"/>
    </xf>
    <xf numFmtId="0" fontId="27" fillId="13" borderId="10" applyNumberFormat="0" applyAlignment="0" applyProtection="0">
      <alignment vertical="center"/>
    </xf>
    <xf numFmtId="0" fontId="28" fillId="13" borderId="6" applyNumberFormat="0" applyAlignment="0" applyProtection="0">
      <alignment vertical="center"/>
    </xf>
    <xf numFmtId="0" fontId="29" fillId="14" borderId="11"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 fillId="0" borderId="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 fillId="0" borderId="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 fillId="0" borderId="0">
      <alignment vertical="center"/>
    </xf>
    <xf numFmtId="0" fontId="1" fillId="0" borderId="0" applyBorder="0">
      <alignment vertical="center"/>
    </xf>
    <xf numFmtId="0" fontId="0" fillId="0" borderId="0"/>
    <xf numFmtId="0" fontId="0" fillId="0" borderId="0" applyBorder="0"/>
  </cellStyleXfs>
  <cellXfs count="78">
    <xf numFmtId="0" fontId="0" fillId="0" borderId="0" xfId="0"/>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2" xfId="53"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xf>
    <xf numFmtId="0" fontId="3" fillId="2" borderId="0" xfId="0" applyFont="1" applyFill="1"/>
    <xf numFmtId="0" fontId="4" fillId="0" borderId="0" xfId="0" applyFont="1" applyFill="1"/>
    <xf numFmtId="0" fontId="3" fillId="0" borderId="0" xfId="0" applyFont="1" applyFill="1"/>
    <xf numFmtId="49" fontId="3" fillId="0" borderId="0" xfId="0" applyNumberFormat="1" applyFont="1" applyFill="1" applyAlignment="1">
      <alignment horizontal="center" wrapText="1"/>
    </xf>
    <xf numFmtId="0" fontId="0" fillId="0" borderId="0" xfId="0" applyFont="1" applyFill="1" applyAlignment="1">
      <alignment wrapText="1"/>
    </xf>
    <xf numFmtId="176" fontId="3" fillId="0" borderId="0" xfId="0" applyNumberFormat="1" applyFont="1" applyFill="1" applyAlignment="1">
      <alignment horizontal="center" vertical="center"/>
    </xf>
    <xf numFmtId="0" fontId="5" fillId="0" borderId="0" xfId="0" applyFont="1" applyFill="1"/>
    <xf numFmtId="0" fontId="6" fillId="0" borderId="0" xfId="0" applyFont="1" applyFill="1" applyAlignment="1">
      <alignment horizontal="center" vertical="center"/>
    </xf>
    <xf numFmtId="0" fontId="3" fillId="0" borderId="0" xfId="0" applyFont="1" applyFill="1" applyAlignment="1">
      <alignment horizontal="left" vertical="center"/>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xf>
    <xf numFmtId="58"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57"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9" fillId="0" borderId="1" xfId="0" applyFont="1" applyBorder="1" applyAlignment="1">
      <alignment horizontal="center" vertical="center"/>
    </xf>
    <xf numFmtId="177" fontId="9"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0" borderId="1" xfId="0" applyNumberFormat="1" applyFont="1" applyBorder="1" applyAlignment="1">
      <alignment horizontal="center" vertical="center"/>
    </xf>
    <xf numFmtId="0" fontId="3" fillId="0" borderId="1" xfId="0" applyFont="1" applyFill="1" applyBorder="1"/>
    <xf numFmtId="57" fontId="3" fillId="0" borderId="1" xfId="0" applyNumberFormat="1" applyFont="1" applyBorder="1" applyAlignment="1">
      <alignment horizontal="center" vertical="center"/>
    </xf>
    <xf numFmtId="49" fontId="10" fillId="0"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Alignment="1">
      <alignment horizontal="center" vertical="center"/>
    </xf>
    <xf numFmtId="177" fontId="3" fillId="0" borderId="1" xfId="0" applyNumberFormat="1" applyFont="1" applyBorder="1" applyAlignment="1">
      <alignment horizontal="center" vertical="center"/>
    </xf>
    <xf numFmtId="57" fontId="5"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xf numFmtId="17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56" applyFont="1" applyFill="1" applyBorder="1" applyAlignment="1">
      <alignment horizontal="center" vertical="center"/>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3" fillId="0" borderId="1" xfId="19" applyFont="1" applyFill="1" applyBorder="1" applyAlignment="1">
      <alignment horizontal="center" vertical="center"/>
    </xf>
    <xf numFmtId="0" fontId="3" fillId="0" borderId="0" xfId="0" applyFont="1" applyFill="1" applyAlignment="1">
      <alignment horizontal="right"/>
    </xf>
    <xf numFmtId="177"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58" fontId="3" fillId="0" borderId="1" xfId="0" applyNumberFormat="1" applyFont="1" applyFill="1" applyBorder="1" applyAlignment="1">
      <alignment horizontal="center" vertical="center"/>
    </xf>
    <xf numFmtId="57" fontId="9" fillId="0" borderId="1" xfId="0" applyNumberFormat="1" applyFont="1" applyBorder="1" applyAlignment="1">
      <alignment horizontal="center" vertical="center"/>
    </xf>
    <xf numFmtId="57" fontId="9" fillId="0" borderId="1" xfId="0" applyNumberFormat="1" applyFont="1" applyBorder="1" applyAlignment="1">
      <alignment horizontal="center" vertical="center" wrapText="1"/>
    </xf>
    <xf numFmtId="58"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77" fontId="9" fillId="0" borderId="1" xfId="0" applyNumberFormat="1" applyFont="1" applyBorder="1" applyAlignment="1">
      <alignment horizontal="center" vertical="center" wrapText="1"/>
    </xf>
    <xf numFmtId="0" fontId="3" fillId="0" borderId="1" xfId="46" applyFont="1" applyBorder="1" applyAlignment="1">
      <alignment horizontal="center" vertical="center" wrapText="1"/>
    </xf>
    <xf numFmtId="58"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1" xfId="0" applyFont="1" applyFill="1" applyBorder="1" applyAlignment="1">
      <alignment horizont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2 4" xfId="54"/>
    <cellStyle name="常规 3" xfId="55"/>
    <cellStyle name="常规 4" xfId="56"/>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7.xml"/><Relationship Id="rId98" Type="http://schemas.openxmlformats.org/officeDocument/2006/relationships/externalLink" Target="externalLinks/externalLink96.xml"/><Relationship Id="rId97" Type="http://schemas.openxmlformats.org/officeDocument/2006/relationships/externalLink" Target="externalLinks/externalLink95.xml"/><Relationship Id="rId96" Type="http://schemas.openxmlformats.org/officeDocument/2006/relationships/externalLink" Target="externalLinks/externalLink94.xml"/><Relationship Id="rId95" Type="http://schemas.openxmlformats.org/officeDocument/2006/relationships/externalLink" Target="externalLinks/externalLink93.xml"/><Relationship Id="rId94" Type="http://schemas.openxmlformats.org/officeDocument/2006/relationships/externalLink" Target="externalLinks/externalLink92.xml"/><Relationship Id="rId93" Type="http://schemas.openxmlformats.org/officeDocument/2006/relationships/externalLink" Target="externalLinks/externalLink91.xml"/><Relationship Id="rId92" Type="http://schemas.openxmlformats.org/officeDocument/2006/relationships/externalLink" Target="externalLinks/externalLink90.xml"/><Relationship Id="rId91" Type="http://schemas.openxmlformats.org/officeDocument/2006/relationships/externalLink" Target="externalLinks/externalLink89.xml"/><Relationship Id="rId90" Type="http://schemas.openxmlformats.org/officeDocument/2006/relationships/externalLink" Target="externalLinks/externalLink88.xml"/><Relationship Id="rId9" Type="http://schemas.openxmlformats.org/officeDocument/2006/relationships/externalLink" Target="externalLinks/externalLink7.xml"/><Relationship Id="rId89" Type="http://schemas.openxmlformats.org/officeDocument/2006/relationships/externalLink" Target="externalLinks/externalLink87.xml"/><Relationship Id="rId88" Type="http://schemas.openxmlformats.org/officeDocument/2006/relationships/externalLink" Target="externalLinks/externalLink86.xml"/><Relationship Id="rId87" Type="http://schemas.openxmlformats.org/officeDocument/2006/relationships/externalLink" Target="externalLinks/externalLink85.xml"/><Relationship Id="rId86" Type="http://schemas.openxmlformats.org/officeDocument/2006/relationships/externalLink" Target="externalLinks/externalLink84.xml"/><Relationship Id="rId85" Type="http://schemas.openxmlformats.org/officeDocument/2006/relationships/externalLink" Target="externalLinks/externalLink83.xml"/><Relationship Id="rId84" Type="http://schemas.openxmlformats.org/officeDocument/2006/relationships/externalLink" Target="externalLinks/externalLink82.xml"/><Relationship Id="rId83" Type="http://schemas.openxmlformats.org/officeDocument/2006/relationships/externalLink" Target="externalLinks/externalLink81.xml"/><Relationship Id="rId82" Type="http://schemas.openxmlformats.org/officeDocument/2006/relationships/externalLink" Target="externalLinks/externalLink80.xml"/><Relationship Id="rId81" Type="http://schemas.openxmlformats.org/officeDocument/2006/relationships/externalLink" Target="externalLinks/externalLink79.xml"/><Relationship Id="rId80" Type="http://schemas.openxmlformats.org/officeDocument/2006/relationships/externalLink" Target="externalLinks/externalLink78.xml"/><Relationship Id="rId8" Type="http://schemas.openxmlformats.org/officeDocument/2006/relationships/externalLink" Target="externalLinks/externalLink6.xml"/><Relationship Id="rId79" Type="http://schemas.openxmlformats.org/officeDocument/2006/relationships/externalLink" Target="externalLinks/externalLink77.xml"/><Relationship Id="rId78" Type="http://schemas.openxmlformats.org/officeDocument/2006/relationships/externalLink" Target="externalLinks/externalLink76.xml"/><Relationship Id="rId77" Type="http://schemas.openxmlformats.org/officeDocument/2006/relationships/externalLink" Target="externalLinks/externalLink75.xml"/><Relationship Id="rId76" Type="http://schemas.openxmlformats.org/officeDocument/2006/relationships/externalLink" Target="externalLinks/externalLink74.xml"/><Relationship Id="rId75" Type="http://schemas.openxmlformats.org/officeDocument/2006/relationships/externalLink" Target="externalLinks/externalLink73.xml"/><Relationship Id="rId74" Type="http://schemas.openxmlformats.org/officeDocument/2006/relationships/externalLink" Target="externalLinks/externalLink72.xml"/><Relationship Id="rId73" Type="http://schemas.openxmlformats.org/officeDocument/2006/relationships/externalLink" Target="externalLinks/externalLink71.xml"/><Relationship Id="rId72" Type="http://schemas.openxmlformats.org/officeDocument/2006/relationships/externalLink" Target="externalLinks/externalLink70.xml"/><Relationship Id="rId71" Type="http://schemas.openxmlformats.org/officeDocument/2006/relationships/externalLink" Target="externalLinks/externalLink69.xml"/><Relationship Id="rId70" Type="http://schemas.openxmlformats.org/officeDocument/2006/relationships/externalLink" Target="externalLinks/externalLink68.xml"/><Relationship Id="rId7" Type="http://schemas.openxmlformats.org/officeDocument/2006/relationships/externalLink" Target="externalLinks/externalLink5.xml"/><Relationship Id="rId69" Type="http://schemas.openxmlformats.org/officeDocument/2006/relationships/externalLink" Target="externalLinks/externalLink67.xml"/><Relationship Id="rId68" Type="http://schemas.openxmlformats.org/officeDocument/2006/relationships/externalLink" Target="externalLinks/externalLink66.xml"/><Relationship Id="rId67" Type="http://schemas.openxmlformats.org/officeDocument/2006/relationships/externalLink" Target="externalLinks/externalLink65.xml"/><Relationship Id="rId66" Type="http://schemas.openxmlformats.org/officeDocument/2006/relationships/externalLink" Target="externalLinks/externalLink64.xml"/><Relationship Id="rId65" Type="http://schemas.openxmlformats.org/officeDocument/2006/relationships/externalLink" Target="externalLinks/externalLink63.xml"/><Relationship Id="rId64" Type="http://schemas.openxmlformats.org/officeDocument/2006/relationships/externalLink" Target="externalLinks/externalLink62.xml"/><Relationship Id="rId63" Type="http://schemas.openxmlformats.org/officeDocument/2006/relationships/externalLink" Target="externalLinks/externalLink61.xml"/><Relationship Id="rId62" Type="http://schemas.openxmlformats.org/officeDocument/2006/relationships/externalLink" Target="externalLinks/externalLink60.xml"/><Relationship Id="rId61" Type="http://schemas.openxmlformats.org/officeDocument/2006/relationships/externalLink" Target="externalLinks/externalLink59.xml"/><Relationship Id="rId60" Type="http://schemas.openxmlformats.org/officeDocument/2006/relationships/externalLink" Target="externalLinks/externalLink58.xml"/><Relationship Id="rId6" Type="http://schemas.openxmlformats.org/officeDocument/2006/relationships/externalLink" Target="externalLinks/externalLink4.xml"/><Relationship Id="rId59" Type="http://schemas.openxmlformats.org/officeDocument/2006/relationships/externalLink" Target="externalLinks/externalLink57.xml"/><Relationship Id="rId58" Type="http://schemas.openxmlformats.org/officeDocument/2006/relationships/externalLink" Target="externalLinks/externalLink56.xml"/><Relationship Id="rId57" Type="http://schemas.openxmlformats.org/officeDocument/2006/relationships/externalLink" Target="externalLinks/externalLink55.xml"/><Relationship Id="rId56" Type="http://schemas.openxmlformats.org/officeDocument/2006/relationships/externalLink" Target="externalLinks/externalLink54.xml"/><Relationship Id="rId55" Type="http://schemas.openxmlformats.org/officeDocument/2006/relationships/externalLink" Target="externalLinks/externalLink53.xml"/><Relationship Id="rId54" Type="http://schemas.openxmlformats.org/officeDocument/2006/relationships/externalLink" Target="externalLinks/externalLink52.xml"/><Relationship Id="rId53" Type="http://schemas.openxmlformats.org/officeDocument/2006/relationships/externalLink" Target="externalLinks/externalLink51.xml"/><Relationship Id="rId52" Type="http://schemas.openxmlformats.org/officeDocument/2006/relationships/externalLink" Target="externalLinks/externalLink50.xml"/><Relationship Id="rId51" Type="http://schemas.openxmlformats.org/officeDocument/2006/relationships/externalLink" Target="externalLinks/externalLink49.xml"/><Relationship Id="rId50" Type="http://schemas.openxmlformats.org/officeDocument/2006/relationships/externalLink" Target="externalLinks/externalLink48.xml"/><Relationship Id="rId5" Type="http://schemas.openxmlformats.org/officeDocument/2006/relationships/externalLink" Target="externalLinks/externalLink3.xml"/><Relationship Id="rId49" Type="http://schemas.openxmlformats.org/officeDocument/2006/relationships/externalLink" Target="externalLinks/externalLink47.xml"/><Relationship Id="rId48" Type="http://schemas.openxmlformats.org/officeDocument/2006/relationships/externalLink" Target="externalLinks/externalLink46.xml"/><Relationship Id="rId47" Type="http://schemas.openxmlformats.org/officeDocument/2006/relationships/externalLink" Target="externalLinks/externalLink45.xml"/><Relationship Id="rId46" Type="http://schemas.openxmlformats.org/officeDocument/2006/relationships/externalLink" Target="externalLinks/externalLink44.xml"/><Relationship Id="rId45" Type="http://schemas.openxmlformats.org/officeDocument/2006/relationships/externalLink" Target="externalLinks/externalLink43.xml"/><Relationship Id="rId44" Type="http://schemas.openxmlformats.org/officeDocument/2006/relationships/externalLink" Target="externalLinks/externalLink42.xml"/><Relationship Id="rId43" Type="http://schemas.openxmlformats.org/officeDocument/2006/relationships/externalLink" Target="externalLinks/externalLink41.xml"/><Relationship Id="rId42" Type="http://schemas.openxmlformats.org/officeDocument/2006/relationships/externalLink" Target="externalLinks/externalLink40.xml"/><Relationship Id="rId41" Type="http://schemas.openxmlformats.org/officeDocument/2006/relationships/externalLink" Target="externalLinks/externalLink39.xml"/><Relationship Id="rId40" Type="http://schemas.openxmlformats.org/officeDocument/2006/relationships/externalLink" Target="externalLinks/externalLink38.xml"/><Relationship Id="rId4" Type="http://schemas.openxmlformats.org/officeDocument/2006/relationships/externalLink" Target="externalLinks/externalLink2.xml"/><Relationship Id="rId39" Type="http://schemas.openxmlformats.org/officeDocument/2006/relationships/externalLink" Target="externalLinks/externalLink37.xml"/><Relationship Id="rId38" Type="http://schemas.openxmlformats.org/officeDocument/2006/relationships/externalLink" Target="externalLinks/externalLink36.xml"/><Relationship Id="rId37" Type="http://schemas.openxmlformats.org/officeDocument/2006/relationships/externalLink" Target="externalLinks/externalLink35.xml"/><Relationship Id="rId36" Type="http://schemas.openxmlformats.org/officeDocument/2006/relationships/externalLink" Target="externalLinks/externalLink34.xml"/><Relationship Id="rId35" Type="http://schemas.openxmlformats.org/officeDocument/2006/relationships/externalLink" Target="externalLinks/externalLink33.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2" Type="http://schemas.openxmlformats.org/officeDocument/2006/relationships/customXml" Target="../customXml/item1.xml"/><Relationship Id="rId291" Type="http://schemas.openxmlformats.org/officeDocument/2006/relationships/sharedStrings" Target="sharedStrings.xml"/><Relationship Id="rId290" Type="http://schemas.openxmlformats.org/officeDocument/2006/relationships/styles" Target="styles.xml"/><Relationship Id="rId29" Type="http://schemas.openxmlformats.org/officeDocument/2006/relationships/externalLink" Target="externalLinks/externalLink27.xml"/><Relationship Id="rId289" Type="http://schemas.openxmlformats.org/officeDocument/2006/relationships/theme" Target="theme/theme1.xml"/><Relationship Id="rId288" Type="http://schemas.openxmlformats.org/officeDocument/2006/relationships/externalLink" Target="externalLinks/externalLink286.xml"/><Relationship Id="rId287" Type="http://schemas.openxmlformats.org/officeDocument/2006/relationships/externalLink" Target="externalLinks/externalLink285.xml"/><Relationship Id="rId286" Type="http://schemas.openxmlformats.org/officeDocument/2006/relationships/externalLink" Target="externalLinks/externalLink284.xml"/><Relationship Id="rId285" Type="http://schemas.openxmlformats.org/officeDocument/2006/relationships/externalLink" Target="externalLinks/externalLink283.xml"/><Relationship Id="rId284" Type="http://schemas.openxmlformats.org/officeDocument/2006/relationships/externalLink" Target="externalLinks/externalLink282.xml"/><Relationship Id="rId283" Type="http://schemas.openxmlformats.org/officeDocument/2006/relationships/externalLink" Target="externalLinks/externalLink281.xml"/><Relationship Id="rId282" Type="http://schemas.openxmlformats.org/officeDocument/2006/relationships/externalLink" Target="externalLinks/externalLink280.xml"/><Relationship Id="rId281" Type="http://schemas.openxmlformats.org/officeDocument/2006/relationships/externalLink" Target="externalLinks/externalLink279.xml"/><Relationship Id="rId280" Type="http://schemas.openxmlformats.org/officeDocument/2006/relationships/externalLink" Target="externalLinks/externalLink278.xml"/><Relationship Id="rId28" Type="http://schemas.openxmlformats.org/officeDocument/2006/relationships/externalLink" Target="externalLinks/externalLink26.xml"/><Relationship Id="rId279" Type="http://schemas.openxmlformats.org/officeDocument/2006/relationships/externalLink" Target="externalLinks/externalLink277.xml"/><Relationship Id="rId278" Type="http://schemas.openxmlformats.org/officeDocument/2006/relationships/externalLink" Target="externalLinks/externalLink276.xml"/><Relationship Id="rId277" Type="http://schemas.openxmlformats.org/officeDocument/2006/relationships/externalLink" Target="externalLinks/externalLink275.xml"/><Relationship Id="rId276" Type="http://schemas.openxmlformats.org/officeDocument/2006/relationships/externalLink" Target="externalLinks/externalLink274.xml"/><Relationship Id="rId275" Type="http://schemas.openxmlformats.org/officeDocument/2006/relationships/externalLink" Target="externalLinks/externalLink273.xml"/><Relationship Id="rId274" Type="http://schemas.openxmlformats.org/officeDocument/2006/relationships/externalLink" Target="externalLinks/externalLink272.xml"/><Relationship Id="rId273" Type="http://schemas.openxmlformats.org/officeDocument/2006/relationships/externalLink" Target="externalLinks/externalLink271.xml"/><Relationship Id="rId272" Type="http://schemas.openxmlformats.org/officeDocument/2006/relationships/externalLink" Target="externalLinks/externalLink270.xml"/><Relationship Id="rId271" Type="http://schemas.openxmlformats.org/officeDocument/2006/relationships/externalLink" Target="externalLinks/externalLink269.xml"/><Relationship Id="rId270" Type="http://schemas.openxmlformats.org/officeDocument/2006/relationships/externalLink" Target="externalLinks/externalLink268.xml"/><Relationship Id="rId27" Type="http://schemas.openxmlformats.org/officeDocument/2006/relationships/externalLink" Target="externalLinks/externalLink25.xml"/><Relationship Id="rId269" Type="http://schemas.openxmlformats.org/officeDocument/2006/relationships/externalLink" Target="externalLinks/externalLink267.xml"/><Relationship Id="rId268" Type="http://schemas.openxmlformats.org/officeDocument/2006/relationships/externalLink" Target="externalLinks/externalLink266.xml"/><Relationship Id="rId267" Type="http://schemas.openxmlformats.org/officeDocument/2006/relationships/externalLink" Target="externalLinks/externalLink265.xml"/><Relationship Id="rId266" Type="http://schemas.openxmlformats.org/officeDocument/2006/relationships/externalLink" Target="externalLinks/externalLink264.xml"/><Relationship Id="rId265" Type="http://schemas.openxmlformats.org/officeDocument/2006/relationships/externalLink" Target="externalLinks/externalLink263.xml"/><Relationship Id="rId264" Type="http://schemas.openxmlformats.org/officeDocument/2006/relationships/externalLink" Target="externalLinks/externalLink262.xml"/><Relationship Id="rId263" Type="http://schemas.openxmlformats.org/officeDocument/2006/relationships/externalLink" Target="externalLinks/externalLink261.xml"/><Relationship Id="rId262" Type="http://schemas.openxmlformats.org/officeDocument/2006/relationships/externalLink" Target="externalLinks/externalLink260.xml"/><Relationship Id="rId261" Type="http://schemas.openxmlformats.org/officeDocument/2006/relationships/externalLink" Target="externalLinks/externalLink259.xml"/><Relationship Id="rId260" Type="http://schemas.openxmlformats.org/officeDocument/2006/relationships/externalLink" Target="externalLinks/externalLink258.xml"/><Relationship Id="rId26" Type="http://schemas.openxmlformats.org/officeDocument/2006/relationships/externalLink" Target="externalLinks/externalLink24.xml"/><Relationship Id="rId259" Type="http://schemas.openxmlformats.org/officeDocument/2006/relationships/externalLink" Target="externalLinks/externalLink257.xml"/><Relationship Id="rId258" Type="http://schemas.openxmlformats.org/officeDocument/2006/relationships/externalLink" Target="externalLinks/externalLink256.xml"/><Relationship Id="rId257" Type="http://schemas.openxmlformats.org/officeDocument/2006/relationships/externalLink" Target="externalLinks/externalLink255.xml"/><Relationship Id="rId256" Type="http://schemas.openxmlformats.org/officeDocument/2006/relationships/externalLink" Target="externalLinks/externalLink254.xml"/><Relationship Id="rId255" Type="http://schemas.openxmlformats.org/officeDocument/2006/relationships/externalLink" Target="externalLinks/externalLink253.xml"/><Relationship Id="rId254" Type="http://schemas.openxmlformats.org/officeDocument/2006/relationships/externalLink" Target="externalLinks/externalLink252.xml"/><Relationship Id="rId253" Type="http://schemas.openxmlformats.org/officeDocument/2006/relationships/externalLink" Target="externalLinks/externalLink251.xml"/><Relationship Id="rId252" Type="http://schemas.openxmlformats.org/officeDocument/2006/relationships/externalLink" Target="externalLinks/externalLink250.xml"/><Relationship Id="rId251" Type="http://schemas.openxmlformats.org/officeDocument/2006/relationships/externalLink" Target="externalLinks/externalLink249.xml"/><Relationship Id="rId250" Type="http://schemas.openxmlformats.org/officeDocument/2006/relationships/externalLink" Target="externalLinks/externalLink248.xml"/><Relationship Id="rId25" Type="http://schemas.openxmlformats.org/officeDocument/2006/relationships/externalLink" Target="externalLinks/externalLink23.xml"/><Relationship Id="rId249" Type="http://schemas.openxmlformats.org/officeDocument/2006/relationships/externalLink" Target="externalLinks/externalLink247.xml"/><Relationship Id="rId248" Type="http://schemas.openxmlformats.org/officeDocument/2006/relationships/externalLink" Target="externalLinks/externalLink246.xml"/><Relationship Id="rId247" Type="http://schemas.openxmlformats.org/officeDocument/2006/relationships/externalLink" Target="externalLinks/externalLink245.xml"/><Relationship Id="rId246" Type="http://schemas.openxmlformats.org/officeDocument/2006/relationships/externalLink" Target="externalLinks/externalLink244.xml"/><Relationship Id="rId245" Type="http://schemas.openxmlformats.org/officeDocument/2006/relationships/externalLink" Target="externalLinks/externalLink243.xml"/><Relationship Id="rId244" Type="http://schemas.openxmlformats.org/officeDocument/2006/relationships/externalLink" Target="externalLinks/externalLink242.xml"/><Relationship Id="rId243" Type="http://schemas.openxmlformats.org/officeDocument/2006/relationships/externalLink" Target="externalLinks/externalLink241.xml"/><Relationship Id="rId242" Type="http://schemas.openxmlformats.org/officeDocument/2006/relationships/externalLink" Target="externalLinks/externalLink240.xml"/><Relationship Id="rId241" Type="http://schemas.openxmlformats.org/officeDocument/2006/relationships/externalLink" Target="externalLinks/externalLink239.xml"/><Relationship Id="rId240" Type="http://schemas.openxmlformats.org/officeDocument/2006/relationships/externalLink" Target="externalLinks/externalLink238.xml"/><Relationship Id="rId24" Type="http://schemas.openxmlformats.org/officeDocument/2006/relationships/externalLink" Target="externalLinks/externalLink22.xml"/><Relationship Id="rId239" Type="http://schemas.openxmlformats.org/officeDocument/2006/relationships/externalLink" Target="externalLinks/externalLink237.xml"/><Relationship Id="rId238" Type="http://schemas.openxmlformats.org/officeDocument/2006/relationships/externalLink" Target="externalLinks/externalLink236.xml"/><Relationship Id="rId237" Type="http://schemas.openxmlformats.org/officeDocument/2006/relationships/externalLink" Target="externalLinks/externalLink235.xml"/><Relationship Id="rId236" Type="http://schemas.openxmlformats.org/officeDocument/2006/relationships/externalLink" Target="externalLinks/externalLink234.xml"/><Relationship Id="rId235" Type="http://schemas.openxmlformats.org/officeDocument/2006/relationships/externalLink" Target="externalLinks/externalLink233.xml"/><Relationship Id="rId234" Type="http://schemas.openxmlformats.org/officeDocument/2006/relationships/externalLink" Target="externalLinks/externalLink232.xml"/><Relationship Id="rId233" Type="http://schemas.openxmlformats.org/officeDocument/2006/relationships/externalLink" Target="externalLinks/externalLink231.xml"/><Relationship Id="rId232" Type="http://schemas.openxmlformats.org/officeDocument/2006/relationships/externalLink" Target="externalLinks/externalLink230.xml"/><Relationship Id="rId231" Type="http://schemas.openxmlformats.org/officeDocument/2006/relationships/externalLink" Target="externalLinks/externalLink229.xml"/><Relationship Id="rId230" Type="http://schemas.openxmlformats.org/officeDocument/2006/relationships/externalLink" Target="externalLinks/externalLink228.xml"/><Relationship Id="rId23" Type="http://schemas.openxmlformats.org/officeDocument/2006/relationships/externalLink" Target="externalLinks/externalLink21.xml"/><Relationship Id="rId229" Type="http://schemas.openxmlformats.org/officeDocument/2006/relationships/externalLink" Target="externalLinks/externalLink227.xml"/><Relationship Id="rId228" Type="http://schemas.openxmlformats.org/officeDocument/2006/relationships/externalLink" Target="externalLinks/externalLink226.xml"/><Relationship Id="rId227" Type="http://schemas.openxmlformats.org/officeDocument/2006/relationships/externalLink" Target="externalLinks/externalLink225.xml"/><Relationship Id="rId226" Type="http://schemas.openxmlformats.org/officeDocument/2006/relationships/externalLink" Target="externalLinks/externalLink224.xml"/><Relationship Id="rId225" Type="http://schemas.openxmlformats.org/officeDocument/2006/relationships/externalLink" Target="externalLinks/externalLink223.xml"/><Relationship Id="rId224" Type="http://schemas.openxmlformats.org/officeDocument/2006/relationships/externalLink" Target="externalLinks/externalLink222.xml"/><Relationship Id="rId223" Type="http://schemas.openxmlformats.org/officeDocument/2006/relationships/externalLink" Target="externalLinks/externalLink221.xml"/><Relationship Id="rId222" Type="http://schemas.openxmlformats.org/officeDocument/2006/relationships/externalLink" Target="externalLinks/externalLink220.xml"/><Relationship Id="rId221" Type="http://schemas.openxmlformats.org/officeDocument/2006/relationships/externalLink" Target="externalLinks/externalLink219.xml"/><Relationship Id="rId220" Type="http://schemas.openxmlformats.org/officeDocument/2006/relationships/externalLink" Target="externalLinks/externalLink218.xml"/><Relationship Id="rId22" Type="http://schemas.openxmlformats.org/officeDocument/2006/relationships/externalLink" Target="externalLinks/externalLink20.xml"/><Relationship Id="rId219" Type="http://schemas.openxmlformats.org/officeDocument/2006/relationships/externalLink" Target="externalLinks/externalLink217.xml"/><Relationship Id="rId218" Type="http://schemas.openxmlformats.org/officeDocument/2006/relationships/externalLink" Target="externalLinks/externalLink216.xml"/><Relationship Id="rId217" Type="http://schemas.openxmlformats.org/officeDocument/2006/relationships/externalLink" Target="externalLinks/externalLink215.xml"/><Relationship Id="rId216" Type="http://schemas.openxmlformats.org/officeDocument/2006/relationships/externalLink" Target="externalLinks/externalLink214.xml"/><Relationship Id="rId215" Type="http://schemas.openxmlformats.org/officeDocument/2006/relationships/externalLink" Target="externalLinks/externalLink213.xml"/><Relationship Id="rId214" Type="http://schemas.openxmlformats.org/officeDocument/2006/relationships/externalLink" Target="externalLinks/externalLink212.xml"/><Relationship Id="rId213" Type="http://schemas.openxmlformats.org/officeDocument/2006/relationships/externalLink" Target="externalLinks/externalLink211.xml"/><Relationship Id="rId212" Type="http://schemas.openxmlformats.org/officeDocument/2006/relationships/externalLink" Target="externalLinks/externalLink210.xml"/><Relationship Id="rId211" Type="http://schemas.openxmlformats.org/officeDocument/2006/relationships/externalLink" Target="externalLinks/externalLink209.xml"/><Relationship Id="rId210" Type="http://schemas.openxmlformats.org/officeDocument/2006/relationships/externalLink" Target="externalLinks/externalLink208.xml"/><Relationship Id="rId21" Type="http://schemas.openxmlformats.org/officeDocument/2006/relationships/externalLink" Target="externalLinks/externalLink19.xml"/><Relationship Id="rId209" Type="http://schemas.openxmlformats.org/officeDocument/2006/relationships/externalLink" Target="externalLinks/externalLink207.xml"/><Relationship Id="rId208" Type="http://schemas.openxmlformats.org/officeDocument/2006/relationships/externalLink" Target="externalLinks/externalLink206.xml"/><Relationship Id="rId207" Type="http://schemas.openxmlformats.org/officeDocument/2006/relationships/externalLink" Target="externalLinks/externalLink205.xml"/><Relationship Id="rId206" Type="http://schemas.openxmlformats.org/officeDocument/2006/relationships/externalLink" Target="externalLinks/externalLink204.xml"/><Relationship Id="rId205" Type="http://schemas.openxmlformats.org/officeDocument/2006/relationships/externalLink" Target="externalLinks/externalLink203.xml"/><Relationship Id="rId204" Type="http://schemas.openxmlformats.org/officeDocument/2006/relationships/externalLink" Target="externalLinks/externalLink202.xml"/><Relationship Id="rId203" Type="http://schemas.openxmlformats.org/officeDocument/2006/relationships/externalLink" Target="externalLinks/externalLink201.xml"/><Relationship Id="rId202" Type="http://schemas.openxmlformats.org/officeDocument/2006/relationships/externalLink" Target="externalLinks/externalLink200.xml"/><Relationship Id="rId201" Type="http://schemas.openxmlformats.org/officeDocument/2006/relationships/externalLink" Target="externalLinks/externalLink199.xml"/><Relationship Id="rId200" Type="http://schemas.openxmlformats.org/officeDocument/2006/relationships/externalLink" Target="externalLinks/externalLink198.xml"/><Relationship Id="rId20" Type="http://schemas.openxmlformats.org/officeDocument/2006/relationships/externalLink" Target="externalLinks/externalLink18.xml"/><Relationship Id="rId2" Type="http://schemas.openxmlformats.org/officeDocument/2006/relationships/worksheet" Target="worksheets/sheet2.xml"/><Relationship Id="rId199" Type="http://schemas.openxmlformats.org/officeDocument/2006/relationships/externalLink" Target="externalLinks/externalLink197.xml"/><Relationship Id="rId198" Type="http://schemas.openxmlformats.org/officeDocument/2006/relationships/externalLink" Target="externalLinks/externalLink196.xml"/><Relationship Id="rId197" Type="http://schemas.openxmlformats.org/officeDocument/2006/relationships/externalLink" Target="externalLinks/externalLink195.xml"/><Relationship Id="rId196" Type="http://schemas.openxmlformats.org/officeDocument/2006/relationships/externalLink" Target="externalLinks/externalLink194.xml"/><Relationship Id="rId195" Type="http://schemas.openxmlformats.org/officeDocument/2006/relationships/externalLink" Target="externalLinks/externalLink193.xml"/><Relationship Id="rId194" Type="http://schemas.openxmlformats.org/officeDocument/2006/relationships/externalLink" Target="externalLinks/externalLink192.xml"/><Relationship Id="rId193" Type="http://schemas.openxmlformats.org/officeDocument/2006/relationships/externalLink" Target="externalLinks/externalLink191.xml"/><Relationship Id="rId192" Type="http://schemas.openxmlformats.org/officeDocument/2006/relationships/externalLink" Target="externalLinks/externalLink190.xml"/><Relationship Id="rId191" Type="http://schemas.openxmlformats.org/officeDocument/2006/relationships/externalLink" Target="externalLinks/externalLink189.xml"/><Relationship Id="rId190" Type="http://schemas.openxmlformats.org/officeDocument/2006/relationships/externalLink" Target="externalLinks/externalLink188.xml"/><Relationship Id="rId19" Type="http://schemas.openxmlformats.org/officeDocument/2006/relationships/externalLink" Target="externalLinks/externalLink17.xml"/><Relationship Id="rId189" Type="http://schemas.openxmlformats.org/officeDocument/2006/relationships/externalLink" Target="externalLinks/externalLink187.xml"/><Relationship Id="rId188" Type="http://schemas.openxmlformats.org/officeDocument/2006/relationships/externalLink" Target="externalLinks/externalLink186.xml"/><Relationship Id="rId187" Type="http://schemas.openxmlformats.org/officeDocument/2006/relationships/externalLink" Target="externalLinks/externalLink185.xml"/><Relationship Id="rId186" Type="http://schemas.openxmlformats.org/officeDocument/2006/relationships/externalLink" Target="externalLinks/externalLink184.xml"/><Relationship Id="rId185" Type="http://schemas.openxmlformats.org/officeDocument/2006/relationships/externalLink" Target="externalLinks/externalLink183.xml"/><Relationship Id="rId184" Type="http://schemas.openxmlformats.org/officeDocument/2006/relationships/externalLink" Target="externalLinks/externalLink182.xml"/><Relationship Id="rId183" Type="http://schemas.openxmlformats.org/officeDocument/2006/relationships/externalLink" Target="externalLinks/externalLink181.xml"/><Relationship Id="rId182" Type="http://schemas.openxmlformats.org/officeDocument/2006/relationships/externalLink" Target="externalLinks/externalLink180.xml"/><Relationship Id="rId181" Type="http://schemas.openxmlformats.org/officeDocument/2006/relationships/externalLink" Target="externalLinks/externalLink179.xml"/><Relationship Id="rId180" Type="http://schemas.openxmlformats.org/officeDocument/2006/relationships/externalLink" Target="externalLinks/externalLink178.xml"/><Relationship Id="rId18" Type="http://schemas.openxmlformats.org/officeDocument/2006/relationships/externalLink" Target="externalLinks/externalLink16.xml"/><Relationship Id="rId179" Type="http://schemas.openxmlformats.org/officeDocument/2006/relationships/externalLink" Target="externalLinks/externalLink177.xml"/><Relationship Id="rId178" Type="http://schemas.openxmlformats.org/officeDocument/2006/relationships/externalLink" Target="externalLinks/externalLink176.xml"/><Relationship Id="rId177" Type="http://schemas.openxmlformats.org/officeDocument/2006/relationships/externalLink" Target="externalLinks/externalLink175.xml"/><Relationship Id="rId176" Type="http://schemas.openxmlformats.org/officeDocument/2006/relationships/externalLink" Target="externalLinks/externalLink174.xml"/><Relationship Id="rId175" Type="http://schemas.openxmlformats.org/officeDocument/2006/relationships/externalLink" Target="externalLinks/externalLink173.xml"/><Relationship Id="rId174" Type="http://schemas.openxmlformats.org/officeDocument/2006/relationships/externalLink" Target="externalLinks/externalLink172.xml"/><Relationship Id="rId173" Type="http://schemas.openxmlformats.org/officeDocument/2006/relationships/externalLink" Target="externalLinks/externalLink171.xml"/><Relationship Id="rId172" Type="http://schemas.openxmlformats.org/officeDocument/2006/relationships/externalLink" Target="externalLinks/externalLink170.xml"/><Relationship Id="rId171" Type="http://schemas.openxmlformats.org/officeDocument/2006/relationships/externalLink" Target="externalLinks/externalLink169.xml"/><Relationship Id="rId170" Type="http://schemas.openxmlformats.org/officeDocument/2006/relationships/externalLink" Target="externalLinks/externalLink168.xml"/><Relationship Id="rId17" Type="http://schemas.openxmlformats.org/officeDocument/2006/relationships/externalLink" Target="externalLinks/externalLink15.xml"/><Relationship Id="rId169" Type="http://schemas.openxmlformats.org/officeDocument/2006/relationships/externalLink" Target="externalLinks/externalLink167.xml"/><Relationship Id="rId168" Type="http://schemas.openxmlformats.org/officeDocument/2006/relationships/externalLink" Target="externalLinks/externalLink166.xml"/><Relationship Id="rId167" Type="http://schemas.openxmlformats.org/officeDocument/2006/relationships/externalLink" Target="externalLinks/externalLink165.xml"/><Relationship Id="rId166" Type="http://schemas.openxmlformats.org/officeDocument/2006/relationships/externalLink" Target="externalLinks/externalLink164.xml"/><Relationship Id="rId165" Type="http://schemas.openxmlformats.org/officeDocument/2006/relationships/externalLink" Target="externalLinks/externalLink163.xml"/><Relationship Id="rId164" Type="http://schemas.openxmlformats.org/officeDocument/2006/relationships/externalLink" Target="externalLinks/externalLink162.xml"/><Relationship Id="rId163" Type="http://schemas.openxmlformats.org/officeDocument/2006/relationships/externalLink" Target="externalLinks/externalLink161.xml"/><Relationship Id="rId162" Type="http://schemas.openxmlformats.org/officeDocument/2006/relationships/externalLink" Target="externalLinks/externalLink160.xml"/><Relationship Id="rId161" Type="http://schemas.openxmlformats.org/officeDocument/2006/relationships/externalLink" Target="externalLinks/externalLink159.xml"/><Relationship Id="rId160" Type="http://schemas.openxmlformats.org/officeDocument/2006/relationships/externalLink" Target="externalLinks/externalLink158.xml"/><Relationship Id="rId16" Type="http://schemas.openxmlformats.org/officeDocument/2006/relationships/externalLink" Target="externalLinks/externalLink14.xml"/><Relationship Id="rId159" Type="http://schemas.openxmlformats.org/officeDocument/2006/relationships/externalLink" Target="externalLinks/externalLink157.xml"/><Relationship Id="rId158" Type="http://schemas.openxmlformats.org/officeDocument/2006/relationships/externalLink" Target="externalLinks/externalLink156.xml"/><Relationship Id="rId157" Type="http://schemas.openxmlformats.org/officeDocument/2006/relationships/externalLink" Target="externalLinks/externalLink155.xml"/><Relationship Id="rId156" Type="http://schemas.openxmlformats.org/officeDocument/2006/relationships/externalLink" Target="externalLinks/externalLink154.xml"/><Relationship Id="rId155" Type="http://schemas.openxmlformats.org/officeDocument/2006/relationships/externalLink" Target="externalLinks/externalLink153.xml"/><Relationship Id="rId154" Type="http://schemas.openxmlformats.org/officeDocument/2006/relationships/externalLink" Target="externalLinks/externalLink152.xml"/><Relationship Id="rId153" Type="http://schemas.openxmlformats.org/officeDocument/2006/relationships/externalLink" Target="externalLinks/externalLink151.xml"/><Relationship Id="rId152" Type="http://schemas.openxmlformats.org/officeDocument/2006/relationships/externalLink" Target="externalLinks/externalLink150.xml"/><Relationship Id="rId151" Type="http://schemas.openxmlformats.org/officeDocument/2006/relationships/externalLink" Target="externalLinks/externalLink149.xml"/><Relationship Id="rId150" Type="http://schemas.openxmlformats.org/officeDocument/2006/relationships/externalLink" Target="externalLinks/externalLink148.xml"/><Relationship Id="rId15" Type="http://schemas.openxmlformats.org/officeDocument/2006/relationships/externalLink" Target="externalLinks/externalLink13.xml"/><Relationship Id="rId149" Type="http://schemas.openxmlformats.org/officeDocument/2006/relationships/externalLink" Target="externalLinks/externalLink147.xml"/><Relationship Id="rId148" Type="http://schemas.openxmlformats.org/officeDocument/2006/relationships/externalLink" Target="externalLinks/externalLink146.xml"/><Relationship Id="rId147" Type="http://schemas.openxmlformats.org/officeDocument/2006/relationships/externalLink" Target="externalLinks/externalLink145.xml"/><Relationship Id="rId146" Type="http://schemas.openxmlformats.org/officeDocument/2006/relationships/externalLink" Target="externalLinks/externalLink144.xml"/><Relationship Id="rId145" Type="http://schemas.openxmlformats.org/officeDocument/2006/relationships/externalLink" Target="externalLinks/externalLink143.xml"/><Relationship Id="rId144" Type="http://schemas.openxmlformats.org/officeDocument/2006/relationships/externalLink" Target="externalLinks/externalLink142.xml"/><Relationship Id="rId143" Type="http://schemas.openxmlformats.org/officeDocument/2006/relationships/externalLink" Target="externalLinks/externalLink141.xml"/><Relationship Id="rId142" Type="http://schemas.openxmlformats.org/officeDocument/2006/relationships/externalLink" Target="externalLinks/externalLink140.xml"/><Relationship Id="rId141" Type="http://schemas.openxmlformats.org/officeDocument/2006/relationships/externalLink" Target="externalLinks/externalLink139.xml"/><Relationship Id="rId140" Type="http://schemas.openxmlformats.org/officeDocument/2006/relationships/externalLink" Target="externalLinks/externalLink138.xml"/><Relationship Id="rId14" Type="http://schemas.openxmlformats.org/officeDocument/2006/relationships/externalLink" Target="externalLinks/externalLink12.xml"/><Relationship Id="rId139" Type="http://schemas.openxmlformats.org/officeDocument/2006/relationships/externalLink" Target="externalLinks/externalLink137.xml"/><Relationship Id="rId138" Type="http://schemas.openxmlformats.org/officeDocument/2006/relationships/externalLink" Target="externalLinks/externalLink136.xml"/><Relationship Id="rId137" Type="http://schemas.openxmlformats.org/officeDocument/2006/relationships/externalLink" Target="externalLinks/externalLink135.xml"/><Relationship Id="rId136" Type="http://schemas.openxmlformats.org/officeDocument/2006/relationships/externalLink" Target="externalLinks/externalLink134.xml"/><Relationship Id="rId135" Type="http://schemas.openxmlformats.org/officeDocument/2006/relationships/externalLink" Target="externalLinks/externalLink133.xml"/><Relationship Id="rId134" Type="http://schemas.openxmlformats.org/officeDocument/2006/relationships/externalLink" Target="externalLinks/externalLink132.xml"/><Relationship Id="rId133" Type="http://schemas.openxmlformats.org/officeDocument/2006/relationships/externalLink" Target="externalLinks/externalLink131.xml"/><Relationship Id="rId132" Type="http://schemas.openxmlformats.org/officeDocument/2006/relationships/externalLink" Target="externalLinks/externalLink130.xml"/><Relationship Id="rId131" Type="http://schemas.openxmlformats.org/officeDocument/2006/relationships/externalLink" Target="externalLinks/externalLink129.xml"/><Relationship Id="rId130" Type="http://schemas.openxmlformats.org/officeDocument/2006/relationships/externalLink" Target="externalLinks/externalLink128.xml"/><Relationship Id="rId13" Type="http://schemas.openxmlformats.org/officeDocument/2006/relationships/externalLink" Target="externalLinks/externalLink11.xml"/><Relationship Id="rId129" Type="http://schemas.openxmlformats.org/officeDocument/2006/relationships/externalLink" Target="externalLinks/externalLink127.xml"/><Relationship Id="rId128" Type="http://schemas.openxmlformats.org/officeDocument/2006/relationships/externalLink" Target="externalLinks/externalLink126.xml"/><Relationship Id="rId127" Type="http://schemas.openxmlformats.org/officeDocument/2006/relationships/externalLink" Target="externalLinks/externalLink125.xml"/><Relationship Id="rId126" Type="http://schemas.openxmlformats.org/officeDocument/2006/relationships/externalLink" Target="externalLinks/externalLink124.xml"/><Relationship Id="rId125" Type="http://schemas.openxmlformats.org/officeDocument/2006/relationships/externalLink" Target="externalLinks/externalLink123.xml"/><Relationship Id="rId124" Type="http://schemas.openxmlformats.org/officeDocument/2006/relationships/externalLink" Target="externalLinks/externalLink122.xml"/><Relationship Id="rId123" Type="http://schemas.openxmlformats.org/officeDocument/2006/relationships/externalLink" Target="externalLinks/externalLink121.xml"/><Relationship Id="rId122" Type="http://schemas.openxmlformats.org/officeDocument/2006/relationships/externalLink" Target="externalLinks/externalLink120.xml"/><Relationship Id="rId121" Type="http://schemas.openxmlformats.org/officeDocument/2006/relationships/externalLink" Target="externalLinks/externalLink119.xml"/><Relationship Id="rId120" Type="http://schemas.openxmlformats.org/officeDocument/2006/relationships/externalLink" Target="externalLinks/externalLink118.xml"/><Relationship Id="rId12" Type="http://schemas.openxmlformats.org/officeDocument/2006/relationships/externalLink" Target="externalLinks/externalLink10.xml"/><Relationship Id="rId119" Type="http://schemas.openxmlformats.org/officeDocument/2006/relationships/externalLink" Target="externalLinks/externalLink117.xml"/><Relationship Id="rId118" Type="http://schemas.openxmlformats.org/officeDocument/2006/relationships/externalLink" Target="externalLinks/externalLink116.xml"/><Relationship Id="rId117" Type="http://schemas.openxmlformats.org/officeDocument/2006/relationships/externalLink" Target="externalLinks/externalLink115.xml"/><Relationship Id="rId116" Type="http://schemas.openxmlformats.org/officeDocument/2006/relationships/externalLink" Target="externalLinks/externalLink114.xml"/><Relationship Id="rId115" Type="http://schemas.openxmlformats.org/officeDocument/2006/relationships/externalLink" Target="externalLinks/externalLink113.xml"/><Relationship Id="rId114" Type="http://schemas.openxmlformats.org/officeDocument/2006/relationships/externalLink" Target="externalLinks/externalLink112.xml"/><Relationship Id="rId113" Type="http://schemas.openxmlformats.org/officeDocument/2006/relationships/externalLink" Target="externalLinks/externalLink111.xml"/><Relationship Id="rId112" Type="http://schemas.openxmlformats.org/officeDocument/2006/relationships/externalLink" Target="externalLinks/externalLink110.xml"/><Relationship Id="rId111" Type="http://schemas.openxmlformats.org/officeDocument/2006/relationships/externalLink" Target="externalLinks/externalLink109.xml"/><Relationship Id="rId110" Type="http://schemas.openxmlformats.org/officeDocument/2006/relationships/externalLink" Target="externalLinks/externalLink108.xml"/><Relationship Id="rId11" Type="http://schemas.openxmlformats.org/officeDocument/2006/relationships/externalLink" Target="externalLinks/externalLink9.xml"/><Relationship Id="rId109" Type="http://schemas.openxmlformats.org/officeDocument/2006/relationships/externalLink" Target="externalLinks/externalLink107.xml"/><Relationship Id="rId108" Type="http://schemas.openxmlformats.org/officeDocument/2006/relationships/externalLink" Target="externalLinks/externalLink106.xml"/><Relationship Id="rId107" Type="http://schemas.openxmlformats.org/officeDocument/2006/relationships/externalLink" Target="externalLinks/externalLink105.xml"/><Relationship Id="rId106" Type="http://schemas.openxmlformats.org/officeDocument/2006/relationships/externalLink" Target="externalLinks/externalLink104.xml"/><Relationship Id="rId105" Type="http://schemas.openxmlformats.org/officeDocument/2006/relationships/externalLink" Target="externalLinks/externalLink103.xml"/><Relationship Id="rId104" Type="http://schemas.openxmlformats.org/officeDocument/2006/relationships/externalLink" Target="externalLinks/externalLink102.xml"/><Relationship Id="rId103" Type="http://schemas.openxmlformats.org/officeDocument/2006/relationships/externalLink" Target="externalLinks/externalLink101.xml"/><Relationship Id="rId102" Type="http://schemas.openxmlformats.org/officeDocument/2006/relationships/externalLink" Target="externalLinks/externalLink100.xml"/><Relationship Id="rId101" Type="http://schemas.openxmlformats.org/officeDocument/2006/relationships/externalLink" Target="externalLinks/externalLink99.xml"/><Relationship Id="rId100" Type="http://schemas.openxmlformats.org/officeDocument/2006/relationships/externalLink" Target="externalLinks/externalLink98.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6</xdr:col>
          <xdr:colOff>1414145</xdr:colOff>
          <xdr:row>678</xdr:row>
          <xdr:rowOff>352425</xdr:rowOff>
        </xdr:from>
        <xdr:to>
          <xdr:col>7</xdr:col>
          <xdr:colOff>223520</xdr:colOff>
          <xdr:row>679</xdr:row>
          <xdr:rowOff>171450</xdr:rowOff>
        </xdr:to>
        <xdr:sp>
          <xdr:nvSpPr>
            <xdr:cNvPr id="1025" name="Object 1" hidden="1">
              <a:extLst>
                <a:ext uri="{63B3BB69-23CF-44E3-9099-C40C66FF867C}">
                  <a14:compatExt spid="_x0000_s1025"/>
                </a:ext>
              </a:extLst>
            </xdr:cNvPr>
            <xdr:cNvSpPr/>
          </xdr:nvSpPr>
          <xdr:spPr>
            <a:xfrm>
              <a:off x="8650605" y="267466445"/>
              <a:ext cx="223520" cy="2127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1414145</xdr:colOff>
          <xdr:row>677</xdr:row>
          <xdr:rowOff>352425</xdr:rowOff>
        </xdr:from>
        <xdr:to>
          <xdr:col>7</xdr:col>
          <xdr:colOff>223520</xdr:colOff>
          <xdr:row>678</xdr:row>
          <xdr:rowOff>171450</xdr:rowOff>
        </xdr:to>
        <xdr:sp>
          <xdr:nvSpPr>
            <xdr:cNvPr id="1026" name="Object 2" hidden="1">
              <a:extLst>
                <a:ext uri="{63B3BB69-23CF-44E3-9099-C40C66FF867C}">
                  <a14:compatExt spid="_x0000_s1026"/>
                </a:ext>
              </a:extLst>
            </xdr:cNvPr>
            <xdr:cNvSpPr/>
          </xdr:nvSpPr>
          <xdr:spPr>
            <a:xfrm>
              <a:off x="8650605" y="267072745"/>
              <a:ext cx="223520" cy="212725"/>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6\&#38468;&#20214;6&#65306;&#40575;&#23528;&#21439;&#21069;&#24448;&#24191;&#35199;&#21306;&#22806;&#21153;&#24037;&#30340;&#33073;&#36139;&#21171;&#21160;&#21147;&#19968;&#27425;&#24615;&#24448;&#36820;&#20132;&#36890;&#34917;&#21161;&#33457;&#21517;&#20876;2023&#24180;6&#26376;13&#260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38472;&#26395;&#29983;&#25143;)&#38468;&#20214;6&#65306;&#40575;&#23528;&#21439;&#33073;&#36139;&#21171;&#21160;&#21147;&#36328;&#30465;&#23601;&#19994;&#19968;&#27425;&#24615;&#20132;&#36890;&#34917;&#21161;&#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9547;&#26449;&#24037;&#20316;\&#20065;&#26449;&#25391;&#20852;\2023\2023&#21518;&#35780;&#20272;&#32771;&#26680;\&#33258;&#27835;&#21306;&#21518;&#35780;&#20272;\&#65288;&#20065;&#38215;&#12289;&#26449;&#32423;&#65289;2023&#24180;&#24230;&#21518;&#35780;&#20272;&#36814;&#26816;&#21488;&#36134;&#23553;&#38754;&#21450;&#30446;&#24405;&#28165;&#21333;11.13\&#26449;&#32423;&#65306;2023&#24180;&#24230;&#21518;&#35780;&#20272;&#36814;&#26816;&#21488;&#36134;&#23553;&#38754;&#21450;&#30446;&#24405;&#28165;&#21333;11.13\&#40644;&#22381;\&#20004;&#34917;\&#38468;&#20214;6&#65306;&#23548;&#27743;&#20065;&#65289;&#20132;&#36890;&#34917;&#21161;&#33457;&#21517;&#20876;&#65288;&#31532;&#20108;&#2520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AppData\Local\Temp\360zip$Temp\360$6\&#65288;&#38886;&#26690;&#22969;&#25143;&#65289;&#38468;&#20214;6&#65306;&#40575;&#23528;&#21439;&#21069;&#24448;&#24191;&#35199;&#21306;&#22806;&#21153;&#24037;&#30340;&#33073;&#36139;&#21171;&#21160;&#21147;&#19968;&#27425;&#24615;&#20132;&#36890;&#34917;&#21161;&#33457;&#21517;&#208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40575;&#23528;&#21439;&#33073;&#36139;&#21171;&#21160;&#21147;&#36328;&#30465;&#23601;&#19994;&#19968;&#27425;&#24615;&#20132;&#36890;&#34917;&#21161;&#33457;&#21517;&#208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40575;&#23528;&#21439;&#33073;&#36139;&#21171;&#21160;&#21147;&#36328;&#30465;&#23601;&#19994;&#19968;&#27425;&#24615;&#20132;&#36890;&#34917;&#21161;&#33457;&#21517;&#20876;(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38468;&#20214;6&#65306;&#65288;&#38472;&#38632;&#65289;&#40575;&#23528;&#21439;&#33073;&#36139;&#21171;&#21160;&#21147;&#36328;&#30465;&#23601;&#19994;&#19968;&#27425;&#24615;&#20132;&#36890;&#34917;&#21161;&#33457;&#21517;&#20876;(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38468;&#20214;6&#65306;&#40575;&#23528;&#21439;&#33073;&#36139;&#21171;&#21160;&#21147;&#36328;&#30465;&#23601;&#19994;&#19968;&#27425;&#24615;&#20132;&#36890;&#34917;&#21161;&#33457;&#21517;&#20876;&#65288;&#30707;&#38376;&#26449;&#28504;&#23391;&#2648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6\&#38468;&#20214;6&#65306;&#40575;&#23528;&#21439;&#21069;&#24448;&#24191;&#35199;&#21306;&#22806;&#21153;&#24037;&#30340;&#33073;&#36139;&#21171;&#21160;&#21147;&#19968;&#27425;&#24615;&#20132;&#36890;&#34917;&#21161;&#33457;&#21517;&#20876;(2)(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23601;&#19994;\2024\2024&#24180;&#20132;&#36890;&#34917;&#21161;\&#65288;&#24635;&#34920;&#65289;&#38468;&#20214;6&#65306;&#40575;&#23528;&#21439;&#33073;&#36139;&#21171;&#21160;&#21147;&#36328;&#30465;&#23601;&#19994;&#19968;&#27425;&#24615;&#20132;&#36890;&#34917;&#21161;&#33457;&#21517;&#2087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40644;&#20885;&#38215;2022&#24180;&#33073;&#36139;&#21171;&#21160;&#21147;&#19968;&#27425;&#24615;&#24448;&#36820;&#20132;&#36890;&#34917;&#21161;&#26631;&#20934;\&#31532;&#19968;&#25209;\&#31532;&#19968;&#25209;&#33457;&#21517;&#2087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38468;&#20214;6&#65306;&#40575;&#23528;&#21439;&#21069;&#24448;&#24191;&#35199;&#21306;&#22806;&#21153;&#24037;&#30340;&#33073;&#36139;&#21171;&#21160;&#21147;&#19968;&#27425;&#24615;&#20132;&#36890;&#34917;&#21161;&#33457;&#21517;&#20876;&#65288;&#21016;&#24422;&#24426;&#25143;&#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5\&#38468;&#20214;6&#65306;&#40575;&#23528;&#21439;&#21069;&#24448;&#24191;&#35199;&#21306;&#22806;&#21153;&#24037;&#30340;&#33073;&#36139;&#21171;&#21160;&#21147;&#19968;&#27425;&#24615;&#20132;&#36890;&#34917;&#21161;&#33457;&#21517;&#20876;(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Users\Administrator\Documents\WPSDrive\29293583\WPS&#20113;&#30424;\2023&#24180;&#39547;&#26449;&#24037;&#20316;\2023&#20132;&#36890;&#34917;&#36148;&#26448;&#26009;\&#38646;&#24037;&#31867;&#183;&#40644;&#20140;&#31168;\&#40644;&#20140;&#31168;\&#38468;&#20214;6&#65306;&#40575;&#23528;&#21439;&#21069;&#24448;&#24191;&#35199;&#21306;&#22806;&#21153;&#24037;&#30340;&#33073;&#36139;&#21171;&#21160;&#21147;&#19968;&#27425;&#24615;&#24448;&#36820;&#20132;&#36890;&#34917;&#21161;&#33457;&#21517;&#2087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40644;&#20885;&#38215;2022&#24180;&#33073;&#36139;&#21171;&#21160;&#21147;&#19968;&#27425;&#24615;&#24448;&#36820;&#20132;&#36890;&#34917;&#21161;&#26631;&#20934;\2022&#24180;&#21508;&#26449;&#20132;&#36890;&#34917;&#36148;&#26448;&#26009;\&#40644;&#20885;&#26449;\&#40644;&#20885;&#26449;&#24278;&#25215;&#26519;&#12289;&#38886;&#32032;&#23071;\(&#24278;&#25215;&#26519;&#12289;&#38886;&#32032;&#23071;&#65289;&#38468;&#20214;6&#65306;&#40575;&#23528;&#21439;&#21069;&#24448;&#24191;&#35199;&#21306;&#22806;&#21153;&#24037;&#30340;&#33073;&#36139;&#21171;&#21160;&#21147;&#19968;&#27425;&#24615;&#24448;&#36820;&#20132;&#36890;&#34917;&#21161;&#33457;&#21517;&#2087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3601;&#19994;\2022\2022&#24180;&#20132;&#36890;&#34917;&#21161;\&#38468;&#20214;6&#65306;&#40644;&#20885;&#38215;&#21069;&#24448;&#24191;&#35199;&#21306;&#22806;&#21153;&#24037;&#30340;&#33073;&#36139;&#21171;&#21160;&#21147;&#19968;&#27425;&#24615;&#24448;&#36820;&#20132;&#36890;&#34917;&#21161;&#33457;&#21517;&#2087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6\&#38468;&#20214;6&#65306;&#40575;&#23528;&#21439;&#21069;&#24448;&#24191;&#35199;&#21306;&#22806;&#21153;&#24037;&#30340;&#33073;&#36139;&#21171;&#21160;&#21147;&#19968;&#27425;&#24615;&#20132;&#36890;&#34917;&#21161;&#33457;&#21517;&#20876;%20&#38472;&#21326;&#12289;&#38472;&#20255;&#2424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7\&#65288;&#38886;&#25991;&#24503;&#65289;&#38468;&#20214;6&#65306;&#40575;&#23528;&#21439;&#21069;&#24448;&#24191;&#35199;&#21306;&#22806;&#21153;&#24037;&#30340;&#33073;&#36139;&#21171;&#21160;&#21147;&#19968;&#27425;&#24615;&#20132;&#36890;&#34917;&#21161;&#33457;&#21517;&#2087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23601;&#19994;\2023\2023&#24180;&#20132;&#36890;&#34917;&#21161;\(&#24278;&#25215;&#26519;&#65289;&#38468;&#20214;6&#65306;&#40575;&#23528;&#21439;&#21069;&#24448;&#24191;&#35199;&#21306;&#22806;&#21153;&#24037;&#30340;&#33073;&#36139;&#21171;&#21160;&#21147;&#19968;&#27425;&#24615;&#24448;&#36820;&#20132;&#36890;&#34917;&#21161;&#33457;&#21517;&#2087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7\&#65288;&#24278;&#22826;&#21326;&#25143;&#65289;&#40575;&#23528;&#21439;&#21069;&#24448;&#24191;&#35199;&#21306;&#22806;&#21153;&#24037;&#30340;&#33073;&#36139;&#21171;&#21160;&#21147;&#19968;&#27425;&#24615;&#20132;&#36890;&#34917;&#21161;&#33457;&#21517;&#2087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7\&#38468;&#20214;6&#65306;&#40575;&#23528;&#21439;&#21069;&#24448;&#24191;&#35199;&#21306;&#22806;&#21153;&#24037;&#30340;&#33073;&#36139;&#21171;&#21160;&#21147;&#19968;&#27425;&#24615;&#24448;&#36820;&#20132;&#36890;&#34917;&#21161;&#33457;&#21517;&#20876;2023-7-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65288;&#24278;&#25215;&#26519;&#12289;&#38886;&#32032;&#23071;&#65289;&#38468;&#20214;6&#65306;&#40575;&#23528;&#21439;&#33073;&#36139;&#21171;&#21160;&#21147;&#36328;&#30465;&#23601;&#19994;&#19968;&#27425;&#24615;&#20132;&#36890;&#34917;&#21161;&#33457;&#21517;&#2087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23601;&#19994;\2024\2024&#24180;&#20132;&#36890;&#34917;&#21161;\&#25910;&#38598;&#30340;&#26448;&#26009;\&#22823;&#31471;&#26449;-&#19969;&#36176;&#32724;&#12289;&#26472;&#26397;&#33459;&#12289;&#26131;&#21452;&#33395;&#12289;&#26131;&#24039;&#33395;&#12289;&#38886;&#33635;&#26032;\&#22823;&#31471;&#26449;-&#19969;&#36176;&#32724;\&#65288;&#19969;&#36176;&#32724;&#65289;&#38468;&#20214;6&#65306;&#40575;&#23528;&#21439;&#33073;&#36139;&#21171;&#21160;&#21147;&#36328;&#30465;&#23601;&#19994;&#19968;&#27425;&#24615;&#20132;&#36890;&#34917;&#21161;&#33457;&#21517;&#2087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38468;&#20214;6&#65306;&#40575;&#23528;&#21439;&#33073;&#36139;&#21171;&#21160;&#21147;&#36328;&#30465;&#23601;&#19994;&#19968;&#27425;&#24615;&#20132;&#36890;&#34917;&#21161;&#33457;&#21517;&#20876;(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23601;&#19994;\2023\2023&#24180;&#20132;&#36890;&#34917;&#21161;\&#24635;&#21517;&#2133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AppData\Local\Temp\360zip$Temp\360$0\&#38468;&#20214;6&#65306;&#40575;&#23528;&#21439;&#21069;&#24448;&#24191;&#35199;&#21306;&#22806;&#21153;&#24037;&#30340;&#33073;&#36139;&#21171;&#21160;&#21147;&#19968;&#27425;&#24615;&#24448;&#36820;&#20132;&#36890;&#34917;&#21161;&#33457;&#21517;&#2087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esktop\&#40644;&#20885;&#38215;2022&#24180;&#33073;&#36139;&#21171;&#21160;&#21147;&#19968;&#27425;&#24615;&#24448;&#36820;&#20132;&#36890;&#34917;&#21161;&#26631;&#20934;\&#31532;&#20108;&#25209;\&#31532;&#20108;&#25209;&#33457;&#21517;&#208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Users\yang\Documents\WPSDrive\29293583\WPS&#20113;&#30424;\2023&#24180;&#39547;&#26449;&#24037;&#20316;\2023&#20132;&#36890;&#34917;&#36148;&#26448;&#26009;\1.&#30003;&#35831;&#20154;&#24050;&#20570;6-13\1&#65288;&#24050;&#20570;&#65289;&#38391;&#27700;&#23663;&#28504;&#23391;&#26480;&#20132;&#36890;&#34917;&#36148;&#30003;&#35831;&#26448;&#26009;&#65288;&#28504;&#36149;&#27494;&#25143;&#65289;\&#38468;&#20214;6&#65306;&#40575;&#23528;&#21439;&#21069;&#24448;&#24191;&#35199;&#21306;&#22806;&#21153;&#24037;&#30340;&#33073;&#36139;&#21171;&#21160;&#21147;&#19968;&#27425;&#24615;&#24448;&#36820;&#20132;&#36890;&#34917;&#21161;&#33457;&#21517;&#20876;&#65288;&#30707;&#38376;&#26449;&#38391;&#27700;&#23663;&#28504;&#36149;&#27494;&#25143;&#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65288;&#28504;&#27704;&#22266;&#25143;&#38472;&#31215;&#20029;&#65289;&#38468;&#20214;6&#65306;&#40575;&#23528;&#21439;&#33073;&#36139;&#21171;&#21160;&#21147;&#36328;&#30465;&#23601;&#19994;&#19968;&#27425;&#24615;&#20132;&#36890;&#34917;&#21161;&#33457;&#21517;&#2087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65288;&#28504;&#40511;&#20278;&#65289;&#38468;&#20214;6&#65306;&#40575;&#23528;&#21439;&#33073;&#36139;&#21171;&#21160;&#21147;&#36328;&#30465;&#23601;&#19994;&#19968;&#27425;&#24615;&#20132;&#36890;&#34917;&#21161;&#33457;&#21517;&#2087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edia\thtf\6C57EB55CB723EFA\&#21776;&#20029;&#38634;\&#26085;&#24120;&#25991;&#26723;\&#20065;&#26449;&#25391;&#20852;&#26448;&#26009;\&#29579;&#20809;&#23439;\&#27807;&#26449;&#23663;&#29579;&#20809;&#23439;&#25143;&#65289;&#29579;&#24935;&#33459;&#36328;&#30465;&#20132;&#36890;&#34917;&#21161;&#30003;&#35831;&#26448;&#26009;\&#38468;&#20214;6&#65306;&#40575;&#23528;&#21439;&#21069;&#24448;&#24191;&#35199;&#21306;&#22806;&#21153;&#24037;&#30340;&#33073;&#36139;&#21171;&#21160;&#21147;&#19968;&#27425;&#24615;&#20132;&#36890;&#34917;&#21161;&#33457;&#21517;&#2087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istrator\Desktop\6666\&#21306;&#22806;&#20132;&#36890;&#34917;\&#21306;&#22806;\&#31532;&#20108;&#25209;\&#38468;&#20214;6&#65306;&#24179;&#23665;&#38215;&#33073;&#36139;&#21171;&#21160;&#21147;&#36328;&#30465;&#23601;&#19994;&#19968;&#27425;&#24615;&#20132;&#36890;&#34917;&#21161;&#33457;&#21517;&#20876;(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32599;&#24341;&#20041;&#65306;&#40575;&#23528;&#21439;&#33073;&#36139;&#21171;&#21160;&#21147;&#36328;&#30465;&#23601;&#19994;&#19968;&#27425;&#24615;&#20132;&#36890;&#34917;&#21161;&#33457;&#21517;&#20876;(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65288;&#32599;&#36335;&#19997;&#65289;&#38468;&#20214;6&#65306;&#40575;&#23528;&#21439;&#33073;&#36139;&#21171;&#21160;&#21147;&#36328;&#30465;&#23601;&#19994;&#19968;&#27425;&#24615;&#20132;&#36890;&#34917;&#21161;&#33457;&#21517;&#20876;(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65288;&#22823;&#38451;&#65289;&#38468;&#20214;6&#65306;&#40575;&#23528;&#21439;&#21069;&#24448;&#24191;&#35199;&#21306;&#22806;&#21153;&#24037;&#30340;&#33073;&#36139;&#21171;&#21160;&#21147;&#19968;&#27425;&#24615;&#20132;&#36890;&#34917;&#21161;&#33457;&#21517;&#20876;(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20848;&#36149;&#36830;&#38468;&#20214;6&#65306;&#40575;&#23528;&#21439;&#21069;&#24448;&#24191;&#35199;&#21306;&#22806;&#21153;&#24037;&#30340;&#33073;&#36139;&#21171;&#21160;&#21147;&#19968;&#27425;&#24615;&#20132;&#36890;&#34917;&#21161;&#33457;&#21517;&#2087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32599;&#25391;&#38468;&#20214;6&#65306;&#40575;&#23528;&#21439;&#21069;&#24448;&#24191;&#35199;&#21306;&#22806;&#21153;&#24037;&#30340;&#33073;&#36139;&#21171;&#21160;&#21147;&#19968;&#27425;&#24615;&#20132;&#36890;&#34917;&#21161;&#33457;&#21517;&#2087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65288;&#38738;&#23665;&#26449;&#21556;&#23439;&#24426;&#65289;&#38468;&#20214;6&#65306;&#40575;&#23528;&#21439;&#33073;&#36139;&#21171;&#21160;&#21147;&#36328;&#30465;&#23601;&#19994;&#19968;&#27425;&#24615;&#20132;&#36890;&#34917;&#21161;&#33457;&#21517;&#20876;.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21556;&#31168;&#33805;-&#21556;&#23439;&#29615;-&#38468;&#20214;6&#65306;&#40575;&#23528;&#21439;&#33073;&#36139;&#21171;&#21160;&#21147;&#36328;&#30465;&#23601;&#19994;&#19968;&#27425;&#24615;&#20132;&#36890;&#34917;&#21161;&#33457;&#21517;&#2087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32599;&#23567;&#24351;&#25143;)&#38468;&#20214;6&#65306;&#40575;&#23528;&#21439;&#33073;&#36139;&#21171;&#21160;&#21147;&#36328;&#30465;&#23601;&#19994;&#19968;&#27425;&#24615;&#20132;&#36890;&#34917;&#21161;&#33457;&#21517;&#20876;.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65288;&#21556;&#24320;&#36798;&#65289;&#38468;&#20214;6&#65306;&#40575;&#23528;&#21439;&#33073;&#36139;&#21171;&#21160;&#21147;&#36328;&#30465;&#23601;&#19994;&#19968;&#27425;&#24615;&#20132;&#36890;&#34917;&#21161;&#33457;&#21517;&#20876;.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65288;&#21556;&#23439;&#20142;&#25143;&#65289;&#38468;&#20214;6&#65306;&#40575;&#23528;&#21439;&#21069;&#24448;&#24191;&#35199;&#21306;&#22806;&#21153;&#24037;&#30340;&#33073;&#36139;&#21171;&#21160;&#21147;&#19968;&#27425;&#24615;&#20132;&#36890;&#34917;&#21161;&#33457;&#21517;&#20876;.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38468;&#20214;6&#65306;&#40575;&#23528;&#21439;&#33073;&#36139;&#21171;&#21160;&#21147;&#36328;&#30465;&#23601;&#19994;&#19968;&#27425;&#24615;&#20132;&#36890;&#34917;&#21161;&#33457;&#21517;&#20876;.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65288;&#38738;&#23665;&#65289;&#38468;&#20214;6&#65306;&#40575;&#23528;&#21439;&#33073;&#36139;&#21171;&#21160;&#21147;&#36328;&#30465;&#23601;&#19994;&#19968;&#27425;&#24615;&#20132;&#36890;&#34917;&#21161;&#33457;&#21517;&#20876;.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38468;&#20214;6&#65306;&#40575;&#23528;&#21439;&#33073;&#36139;&#21171;&#21160;&#21147;&#36328;&#30465;&#23601;&#19994;&#19968;&#27425;&#24615;&#20132;&#36890;&#34917;&#21161;&#33457;&#21517;&#20876;(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23380;&#22530;&#12289;&#20061;&#31616;6&#65306;&#40575;&#23528;&#21439;&#33073;&#36139;&#21171;&#21160;&#21147;&#36328;&#30465;&#23601;&#19994;&#19968;&#27425;&#24615;&#20132;&#36890;&#34917;&#21161;&#33457;&#21517;&#20876;(16).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33707;&#20142;&#25143;&#65306;&#40575;&#23528;&#21439;&#33073;&#36139;&#21171;&#21160;&#21147;&#36328;&#30465;&#23601;&#19994;&#19968;&#27425;&#24615;&#20132;&#36890;&#34917;&#21161;&#33457;&#21517;&#20876;().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38468;&#20214;6&#65306;&#40575;&#23528;&#21439;&#33073;&#36139;&#21171;&#21160;&#21147;&#36328;&#30465;&#23601;&#19994;&#19968;&#27425;&#24615;&#20132;&#36890;&#34917;&#21161;&#33457;&#21517;&#20876;(5)(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8.16%20%20&#33707;&#25991;&#21531;&#12289;&#27743;&#26093;&#21018;%20%20&#38468;&#20214;6&#65306;&#40575;&#23528;&#21439;&#33073;&#36139;&#21171;&#21160;&#21147;&#36328;&#30465;&#23601;&#19994;&#19968;&#27425;&#24615;&#20132;&#36890;&#34917;&#21161;&#33457;&#21517;&#20876;.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25105;&#30340;&#25991;&#26723;\Documents\&#25105;&#30340;&#25991;&#26723;\Documents\&#31934;&#20934;&#25206;&#36139;&#12289;&#20065;&#26449;&#25391;&#20852;(&#20013;&#33609;&#33647;&#26448;&#29983;&#20135;&#21450;&#25206;&#25345;&#25919;&#31574;&#65289;\2023&#24180;&#38450;&#36139;&#24037;&#20316;\&#21153;&#24037;&#23601;&#19994;&#24773;&#20917;&#12289;&#20132;&#36890;&#34917;&#36148;\&#65288;&#33437;&#23665;&#12289;&#30707;&#40857;&#65289;&#38468;&#20214;6&#65306;&#40575;&#23528;&#21439;&#21069;&#24448;&#24191;&#35199;&#21306;&#22806;&#21153;&#24037;&#30340;&#33073;&#36139;&#21171;&#21160;&#21147;&#19968;&#27425;&#24615;&#20132;&#36890;&#34917;&#21161;&#33457;&#21517;&#20876;(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38468;&#20214;6&#65306;&#40575;&#23528;&#21439;&#33073;&#36139;&#21171;&#21160;&#21147;&#36328;&#30465;&#23601;&#19994;&#19968;&#27425;&#24615;&#20132;&#36890;&#34917;&#21161;&#33457;&#21517;&#20876;(5)(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38468;&#20214;6&#65306;&#30707;&#40857;&#33073;&#36139;&#21171;&#21160;&#21147;&#36328;&#30465;&#23601;&#19994;&#19968;&#27425;&#24615;&#20132;&#36890;&#34917;&#21161;&#33457;&#21517;&#20876;&#65288;&#32599;&#20803;&#65289;.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38468;&#20214;6&#65306;&#40575;&#23528;&#21439;&#33073;&#36139;&#21171;&#21160;&#21147;&#36328;&#30465;&#23601;&#19994;&#19968;&#27425;&#24615;&#20132;&#36890;&#34917;&#21161;&#33457;&#21517;&#20876;&#32599;&#33945;&#2058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WeChat%20Files\wxid_xw2kqgolxkdb21\FileStorage\File\2024-07\&#65288;&#33707;&#19994;&#24191;&#65289;&#38468;&#20214;6&#65306;&#40575;&#23528;&#21439;&#33073;&#36139;&#21171;&#21160;&#21147;&#36328;&#30465;&#23601;&#19994;&#19968;&#27425;&#24615;&#20132;&#36890;&#34917;&#21161;&#33457;&#21517;&#20876;(6)(1).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Administrator\AppData\Local\Temp\HZ$D.663.4992\HZ$D.663.4997\&#32599;&#31062;&#21326;&#30465;&#22806;&#21153;&#24037;&#34917;&#21161;&#26448;&#26009;&#65288;2024.07&#65289;\&#38468;&#20214;6&#65306;&#40575;&#23528;&#21439;&#33073;&#36139;&#21171;&#21160;&#21147;&#36328;&#30465;&#23601;&#19994;&#19968;&#27425;&#24615;&#20132;&#36890;&#34917;&#21161;&#33457;&#21517;&#20876;&#65288;&#32599;&#31062;&#21326;&#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38468;&#20214;6&#65306;&#33437;&#23665;&#33073;&#36139;&#21171;&#21160;&#21147;&#36328;&#30465;&#23601;&#19994;&#19968;&#27425;&#24615;&#20132;&#36890;&#34917;&#21161;&#33457;&#21517;&#20876;(6).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38468;&#20214;6&#65306;&#40575;&#23528;&#21439;&#33073;&#36139;&#21171;&#21160;&#21147;&#36328;&#30465;&#23601;&#19994;&#19968;&#27425;&#24615;&#20132;&#36890;&#34917;&#21161;&#33457;&#21517;&#20876;(14).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WeChat%20Files\wxid_q90sjvunve6w22\FileStorage\File\2024-08\&#65288;&#26472;&#28165;&#25143;&#65292;&#20197;&#27492;&#20026;&#20934;&#65289;&#38468;&#20214;6&#65306;&#40575;&#23528;&#21439;&#33073;&#36139;&#21171;&#21160;&#21147;&#36328;&#30465;&#23601;&#19994;&#19968;&#27425;&#24615;&#20132;&#36890;&#34917;&#21161;&#33457;&#21517;&#20876;.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65288;&#20013;&#26449;&#65289;&#38468;&#20214;6&#65306;&#40575;&#23528;&#21439;&#33073;&#36139;&#21171;&#21160;&#21147;&#36328;&#30465;&#23601;&#19994;&#19968;&#27425;&#24615;&#20132;&#36890;&#34917;&#21161;&#33457;&#21517;&#20876;%20-%20&#21103;&#264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23663;&#31179;&#38468;&#20214;6&#65306;&#40575;&#23528;&#21439;&#33073;&#36139;&#21171;&#21160;&#21147;&#36328;&#30465;&#23601;&#19994;&#19968;&#27425;&#24615;&#20132;&#36890;&#34917;&#21161;&#33457;&#21517;&#20876;(3).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38468;&#20214;6&#65306;&#40575;&#23528;&#21439;&#33073;&#36139;&#21171;&#21160;&#21147;&#36328;&#30465;&#23601;&#19994;&#19968;&#27425;&#24615;&#20132;&#36890;&#34917;&#21161;&#33457;&#21517;&#20876;&#65288;&#23380;&#22530;&#26449;&#6528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024&#24180;\&#21306;&#22806;&#20132;&#36890;&#34917;&#36148;\&#26753;&#20197;&#27426;2024&#22806;&#20986;&#21153;&#24037;&#20132;&#36890;&#34917;&#36148;&#30003;&#35831;\&#26753;&#20197;&#27426;2024&#22806;&#20986;&#21153;&#24037;&#20132;&#36890;&#34917;&#36148;&#30003;&#35831;\&#26753;&#20197;&#27426;&#38468;&#20214;6&#65306;&#40575;&#23528;&#21439;&#33073;&#36139;&#21171;&#21160;&#21147;&#36328;&#30465;&#23601;&#19994;&#19968;&#27425;&#24615;&#20132;&#36890;&#34917;&#21161;&#33457;&#21517;&#20876;.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024&#24180;\&#21306;&#22806;&#20132;&#36890;&#34917;&#36148;\2024&#24180;&#21306;&#22806;&#21153;&#24037;&#19968;&#27425;&#24615;&#20132;&#36890;&#34917;&#36148;&#65288;&#32599;&#38271;&#23398;&#20043;&#22899;&#32599;&#28023;&#22969;&#65289;\2024&#24180;&#21306;&#22806;&#21153;&#24037;&#19968;&#27425;&#24615;&#20132;&#36890;&#34917;&#36148;&#65288;&#32599;&#38271;&#23398;&#20043;&#22899;&#32599;&#28023;&#22969;&#65289;\&#32599;&#28023;&#22969;&#38468;&#20214;6&#65306;&#40575;&#23528;&#21439;&#33073;&#36139;&#21171;&#21160;&#21147;&#36328;&#30465;&#23601;&#19994;&#19968;&#27425;&#24615;&#20132;&#36890;&#34917;&#21161;&#33457;&#21517;&#20876;.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2024&#24180;\&#21306;&#22806;&#20132;&#36890;&#34917;&#36148;\2024&#39640;&#22369;&#26032;&#26449;&#65288;&#38886;&#25935;&#20848;&#65289;1.&#20851;&#20110;&#20570;&#22909;&#33073;&#36139;&#21171;&#21160;&#21147;&#36328;&#30465;&#23601;&#19994;&#19968;&#27425;&#24615;&#20132;&#36890;&#34917;&#21161;&#24037;&#20316;&#30340;&#36890;&#30693;(1)\2024&#39640;&#22369;&#26032;&#26449;&#65288;&#38886;&#25935;&#20848;&#65289;1.&#20851;&#20110;&#20570;&#22909;&#33073;&#36139;&#21171;&#21160;&#21147;&#36328;&#30465;&#23601;&#19994;&#19968;&#27425;&#24615;&#20132;&#36890;&#34917;&#21161;&#24037;&#20316;&#30340;&#36890;&#30693;(1)\&#38468;&#20214;6&#65306;&#40575;&#23528;&#21439;&#21069;&#24448;&#24191;&#35199;&#21306;&#22806;&#21153;&#24037;&#30340;&#33073;&#36139;&#21171;&#21160;&#21147;&#19968;&#27425;&#24615;&#20132;&#36890;&#34917;&#21161;&#33457;&#21517;&#2087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024&#24180;\&#21306;&#22806;&#20132;&#36890;&#34917;&#36148;\&#65288;&#21016;&#36132;&#26032;&#65289;&#20132;&#36890;&#34917;&#21161;&#30003;&#35831;&#26448;&#26009;\&#65288;&#21016;&#36132;&#26032;&#65289;&#20132;&#36890;&#34917;&#21161;&#30003;&#35831;&#26448;&#26009;\&#38468;&#20214;6&#65306;&#40575;&#23528;&#21439;&#33073;&#36139;&#21171;&#21160;&#21147;&#36328;&#30465;&#23601;&#19994;&#19968;&#27425;&#24615;&#20132;&#36890;&#34917;&#21161;&#33457;&#21517;&#20876;&#65288;&#21016;&#36132;&#26032;&#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2024&#24180;\&#21306;&#22806;&#20132;&#36890;&#34917;&#36148;\2024&#24180;&#20848;&#20809;&#26032;&#21153;&#24037;&#20132;&#36890;&#34917;&#36148;&#26448;&#26009;\2024&#24180;&#20848;&#20809;&#26032;&#21153;&#24037;&#20132;&#36890;&#34917;&#36148;&#26448;&#26009;\&#65288;&#20848;&#20809;&#26032;&#65289;&#38468;&#20214;6&#65306;&#40575;&#23528;&#21439;&#21069;&#24448;&#24191;&#35199;&#21306;&#22806;&#21153;&#24037;&#30340;&#33073;&#36139;&#21171;&#21160;&#21147;&#19968;&#27425;&#24615;&#20132;&#36890;&#34917;&#21161;&#33457;&#21517;&#20876;.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024&#24180;\&#21306;&#22806;&#20132;&#36890;&#34917;&#36148;\(&#20911;&#24310;&#27426;&#12289;&#26472;&#29756;&#33521;&#65289;2024&#24180;&#36328;&#30465;&#23601;&#19994;&#20132;&#36890;&#34917;&#21161;&#26448;&#26009;\(&#20911;&#24310;&#27426;&#12289;&#26472;&#29756;&#33521;&#65289;&#38468;&#20214;6&#65306;&#40575;&#23528;&#21439;&#33073;&#36139;&#21171;&#21160;&#21147;&#36328;&#30465;&#23601;&#19994;&#19968;&#27425;&#24615;&#20132;&#36890;&#34917;&#21161;&#33457;&#21517;&#20876;.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2024&#24180;\&#21306;&#22806;&#20132;&#36890;&#34917;&#36148;\2024&#24180;&#21306;&#22806;&#21153;&#24037;&#19968;&#27425;&#24615;&#20132;&#36890;&#34917;&#36148;&#65288;&#38472;&#32654;&#20840;&#20043;&#22899;&#38472;&#29747;&#65289;\2024&#24180;&#21306;&#22806;&#21153;&#24037;&#19968;&#27425;&#24615;&#20132;&#36890;&#34917;&#36148;&#65288;&#38472;&#32654;&#20840;&#20043;&#22899;&#38472;&#29747;&#65289;\(&#38472;&#29747;&#65289;&#38468;&#20214;6&#65306;&#40575;&#23528;&#21439;&#33073;&#36139;&#21171;&#21160;&#21147;&#36328;&#30465;&#23601;&#19994;&#19968;&#27425;&#24615;&#20132;&#36890;&#34917;&#21161;&#33457;&#21517;&#2087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2024&#24180;\&#21306;&#22806;&#20132;&#36890;&#34917;&#36148;\&#21016;&#36132;&#24110;&#21153;&#24037;&#26448;&#26009;\&#38468;&#20214;6&#65306;&#40575;&#23528;&#21439;&#33073;&#36139;&#21171;&#21160;&#21147;&#36328;&#30465;&#23601;&#19994;&#19968;&#27425;&#24615;&#20132;&#36890;&#34917;&#21161;&#33457;&#21517;&#20876;&#65288;&#21016;&#36132;&#24110;&#6528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2024&#24180;\&#21306;&#22806;&#20132;&#36890;&#34917;&#36148;\&#40644;&#20964;&#29645;&#21306;&#22806;&#20132;&#36890;&#34917;&#36148;&#30003;&#35831;&#26448;&#26009;\&#40644;&#20964;&#29645;&#21306;&#22806;&#20132;&#36890;&#34917;&#36148;&#30003;&#35831;&#26448;&#26009;\&#38468;&#20214;6&#65306;&#40575;&#23528;&#21439;&#33073;&#36139;&#21171;&#21160;&#21147;&#36328;&#30465;&#23601;&#19994;&#19968;&#27425;&#24615;&#20132;&#36890;&#34917;&#21161;&#33457;&#21517;&#20876;.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2024&#24180;\&#21306;&#22806;&#20132;&#36890;&#34917;&#36148;\&#65288;&#26446;&#27704;&#21073;&#65289;2024&#24180;&#30003;&#35831;&#22806;&#20986;&#21153;&#24037;&#19968;&#27425;&#24615;&#20132;&#36890;&#34917;&#21161;&#26448;&#26009;&#65288;2024.08.01&#65289;\&#65288;&#26446;&#27704;&#21073;&#65289;2024&#24180;&#30003;&#35831;&#22806;&#20986;&#21153;&#24037;&#19968;&#27425;&#24615;&#20132;&#36890;&#34917;&#21161;&#26448;&#26009;&#65288;2024.08.01&#65289;\&#65288;&#26446;&#27704;&#21073;&#65289;&#38468;&#20214;6&#65306;&#40575;&#23528;&#21439;&#33073;&#36139;&#21171;&#21160;&#21147;&#36328;&#30465;&#23601;&#19994;&#19968;&#27425;&#24615;&#20132;&#36890;&#34917;&#21161;&#33457;&#21517;&#20876;.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2024&#24180;\&#21306;&#22806;&#20132;&#36890;&#34917;&#36148;\&#65288;&#40644;&#20852;&#36745;&#65289;2024&#24180;&#21306;&#22806;&#21153;&#24037;&#19968;&#27425;&#24615;&#20132;&#36890;&#34917;&#36148;&#30003;&#35831;\&#65288;&#40644;&#20852;&#36745;&#65289;2024&#24180;&#21306;&#22806;&#21153;&#24037;&#19968;&#27425;&#24615;&#20132;&#36890;&#34917;&#36148;&#30003;&#35831;\&#38468;&#20214;6&#65306;&#40575;&#23528;&#21439;&#33073;&#36139;&#21171;&#21160;&#21147;&#36328;&#30465;&#23601;&#19994;&#19968;&#27425;&#24615;&#20132;&#36890;&#34917;&#21161;&#33457;&#21517;&#20876;.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2024&#24180;\&#21306;&#22806;&#20132;&#36890;&#34917;&#36148;\&#65288;&#21016;&#36132;&#27426;&#65289;2024&#24180;&#33073;&#36139;&#21171;&#21160;&#21147;&#36328;&#30465;&#23601;&#19994;&#19968;&#27425;&#24615;&#20132;&#36890;&#34917;&#21161;\&#65288;&#21016;&#36132;&#27426;&#65289;2024&#24180;&#33073;&#36139;&#21171;&#21160;&#21147;&#36328;&#30465;&#23601;&#19994;&#19968;&#27425;&#24615;&#20132;&#36890;&#34917;&#21161;\&#65288;&#21016;&#36132;&#27426;&#65289;&#38468;&#20214;6&#65306;&#40575;&#23528;&#21439;&#33073;&#36139;&#21171;&#21160;&#21147;&#36328;&#30465;&#23601;&#19994;&#19968;&#27425;&#24615;&#20132;&#36890;&#34917;&#21161;&#33457;&#21517;&#20876;.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65288;&#31179;&#25972;&#29702;&#65289;&#25152;&#26377;&#34917;&#36148;&#12289;&#24037;&#36164;&#12289;&#25253;&#36134;&#12289;&#32489;&#25928;&#31561;&#24037;&#20316;&#20869;&#23481;&#27719;&#24635;\13&#12289;&#31179;-&#20010;&#20154;&#25206;&#36139;\2024&#24180;\&#22806;&#20986;&#21153;&#24037;&#12289;&#20132;&#36890;&#34917;&#36148;\&#20132;&#36890;&#34917;&#21161;\&#39640;&#22369;&#20094;&#21521;-&#65288;&#20911;&#24076;&#20184;&#12289;&#35768;&#36745;&#65289;&#30465;&#22806;&#21153;&#24037;&#20132;&#36890;&#34917;&#36148;\&#65288;&#39640;&#22369;&#20094;&#21521;&#23663;-&#20911;&#24076;&#20184;&#12289;&#35768;&#36745;&#65289;&#38468;&#20214;6&#65306;&#40575;&#23528;&#21439;&#21069;&#24448;&#24191;&#35199;&#21306;&#22806;&#21153;&#24037;&#30340;&#33073;&#36139;&#21171;&#21160;&#21147;&#19968;&#27425;&#24615;&#24448;&#36820;&#20132;&#36890;&#34917;&#21161;&#33457;&#21517;&#20876;.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2024&#24180;\&#21306;&#22806;&#20132;&#36890;&#34917;&#36148;\&#65288;&#32599;&#27743;&#29141;&#12289;&#35768;&#36745;&#12289;&#20911;&#24076;&#20184;&#65289;&#30465;&#22806;&#21153;&#24037;&#20132;&#36890;&#34917;&#21161;&#30003;&#35831;&#26448;&#26009;\&#65288;&#32599;&#27743;&#29141;&#12289;&#35768;&#36745;&#12289;&#20911;&#24076;&#20184;&#65289;&#30465;&#22806;&#21153;&#24037;&#20132;&#36890;&#34917;&#21161;&#30003;&#35831;&#26448;&#26009;\&#65288;&#20911;&#24076;&#20184;&#65289;&#30465;&#22806;&#21153;&#24037;&#20132;&#36890;&#34917;&#21161;\&#65288;&#32599;&#27743;&#29141;&#12289;&#35768;&#36745;&#12289;&#20911;&#24076;&#20184;&#65289;&#38468;&#20214;6&#65306;&#40575;&#23528;&#21439;&#21069;&#24448;&#24191;&#35199;&#21306;&#22806;&#21153;&#24037;&#30340;&#33073;&#36139;&#21171;&#21160;&#21147;&#19968;&#27425;&#24615;&#24448;&#36820;&#20132;&#36890;&#34917;&#21161;&#33457;&#21517;&#20876;.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2024&#24180;\&#21306;&#22806;&#20132;&#36890;&#34917;&#36148;\1.&#30707;&#35760;&#22269;&#25143;&#36139;&#21171;&#21160;&#21147;&#36328;&#30465;&#23601;&#19994;&#19968;&#27425;&#24615;&#20132;&#36890;&#34917;&#21161;&#26448;&#26009;\&#38468;&#20214;6&#65306;&#40575;&#23528;&#21439;&#21069;&#24448;&#24191;&#35199;&#21306;&#22806;&#21153;&#24037;&#30340;&#33073;&#36139;&#21171;&#21160;&#21147;&#19968;&#27425;&#24615;&#20132;&#36890;&#34917;&#21161;&#33457;&#21517;&#20876;.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2024&#24180;\&#21306;&#22806;&#20132;&#36890;&#34917;&#36148;\&#39640;&#23528;&#38886;&#21892;&#28385;2024&#20132;&#36890;&#34917;&#36148;\&#39640;&#23528;&#38886;&#21892;&#28385;2024&#20132;&#36890;&#34917;&#36148;\&#65288;&#38886;&#21892;&#28385;&#65289;&#38468;&#20214;6&#65306;&#40575;&#23528;&#21439;&#33073;&#36139;&#21171;&#21160;&#21147;&#36328;&#30465;&#23601;&#19994;&#19968;&#27425;&#24615;&#20132;&#36890;&#34917;&#21161;&#33457;&#21517;&#20876;.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2024&#24180;\&#21306;&#22806;&#20132;&#36890;&#34917;&#36148;\&#40644;&#24198;&#26149;2024&#24180;&#30465;&#22806;&#20132;&#36890;&#34917;&#36148;&#26448;&#26009;\&#40644;&#24198;&#26149;2024&#24180;&#30465;&#22806;&#20132;&#36890;&#34917;&#36148;&#26448;&#26009;\&#38468;&#20214;6&#65306;&#65288;&#40644;&#24198;&#26149;&#65289;&#40575;&#23528;&#21439;&#21069;&#24448;&#24191;&#35199;&#21306;&#22806;&#21153;&#24037;&#30340;&#33073;&#36139;&#21171;&#21160;&#21147;&#19968;&#27425;&#24615;&#24448;&#36820;&#20132;&#36890;&#34917;&#21161;&#33457;&#21517;&#20876;.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2024&#24180;\&#21306;&#22806;&#20132;&#36890;&#34917;&#36148;\&#38518;&#33395;&#33805;&#65288;&#40510;&#23665;&#33707;&#36828;&#23071;&#25143;&#65289;&#40575;&#23528;&#21439;&#33073;&#36139;&#21171;&#21160;&#21147;&#20986;&#30465;&#19968;&#27425;&#24615;&#20132;&#36890;&#34917;&#21161;\&#38518;&#33395;&#33805;&#65288;&#40510;&#23665;&#33707;&#36828;&#23071;&#25143;&#65289;&#40575;&#23528;&#21439;&#33073;&#36139;&#21171;&#21160;&#21147;&#19968;&#27425;&#24615;&#20132;&#36890;&#34917;&#21161;\&#38468;&#20214;6&#65306;&#40575;&#23528;&#21439;&#33073;&#36139;&#21171;&#21160;&#21147;&#36328;&#30465;&#23601;&#19994;&#19968;&#27425;&#24615;&#20132;&#36890;&#34917;&#21161;&#33457;&#21517;&#20876;.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2024&#24180;\&#21306;&#22806;&#20132;&#36890;&#34917;&#36148;\&#20094;&#21521;&#20911;&#24076;&#20113;&#30003;&#35831;2024&#24180;&#21306;&#22806;&#20132;&#36890;&#34917;&#36148;&#26448;&#26009;\&#20911;&#24076;&#20113;&#30003;&#35831;2024&#24180;&#21306;&#22806;&#20132;&#36890;&#34917;&#36148;&#26448;&#26009;\&#38468;&#20214;6&#65306;&#40575;&#23528;&#21439;&#33073;&#36139;&#21171;&#21160;&#21147;&#36328;&#30465;&#23601;&#19994;&#19968;&#27425;&#24615;&#20132;&#36890;&#34917;&#21161;&#33457;&#21517;&#20876;.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2024&#24180;\&#21306;&#22806;&#20132;&#36890;&#34917;&#36148;\&#21016;&#32654;&#29645;&#30003;&#25253;&#26448;&#26009;\&#38468;&#20214;6&#65288;&#21016;&#32654;&#29645;&#65289;&#65306;&#40575;&#23528;&#21439;&#33073;&#36139;&#21171;&#21160;&#21147;&#36328;&#30465;&#23601;&#19994;&#19968;&#27425;&#24615;&#20132;&#36890;&#34917;&#21161;&#33457;&#21517;&#20876;.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2024&#24180;&#21306;&#22806;&#20132;&#36890;&#21644;&#21439;&#20869;&#21153;&#24037;\&#21306;&#22806;&#20132;&#36890;&#34917;&#36148;\&#21306;&#22806;8.12\&#24247;&#30495;&#30495;\&#65288;&#24247;&#30495;&#30495;&#65289;&#38468;&#20214;6&#65306;&#40575;&#23528;&#21439;&#21069;&#24448;&#24191;&#35199;&#21306;&#22806;&#21153;&#24037;&#30340;&#33073;&#36139;&#21171;&#21160;&#21147;&#19968;&#27425;&#24615;&#20132;&#36890;&#34917;&#21161;&#33457;&#21517;&#20876;.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2024&#24180;&#21306;&#22806;&#20132;&#36890;&#21644;&#21439;&#20869;&#21153;&#24037;\&#21306;&#22806;&#20132;&#36890;&#34917;&#36148;\&#21306;&#22806;8.12\&#40575;&#23528;&#21439;&#33073;&#36139;&#21171;&#21160;&#21147;&#21306;&#22806;&#19968;&#27425;&#24615;&#20132;&#36890;&#34917;&#21161;&#30003;&#35831;&#26448;&#26009;&#65288;&#32599;&#38271;&#23398;&#65289;\&#38468;&#20214;6&#65306;&#40575;&#23528;&#21439;&#21069;&#24448;&#24191;&#35199;&#21306;&#22806;&#21153;&#24037;&#30340;&#33073;&#36139;&#21171;&#21160;&#21147;&#19968;&#27425;&#24615;&#20132;&#36890;&#34917;&#21161;&#33457;&#21517;&#20876;.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2024&#24180;&#21306;&#22806;&#20132;&#36890;&#21644;&#21439;&#20869;&#21153;&#24037;\&#21306;&#22806;&#20132;&#36890;&#34917;&#36148;\&#21306;&#22806;8.12\&#20911;&#24198;&#38684;%20&#20132;&#36890;&#34917;&#36148;&#26448;&#26009;8.8\&#20911;&#24198;&#38684;%20&#20132;&#36890;&#34917;&#36148;&#26448;&#26009;8.8\&#20911;&#24198;&#38684;%20&#38468;&#20214;6&#65306;&#40575;&#23528;&#21439;&#33073;&#36139;&#21171;&#21160;&#21147;&#36328;&#30465;&#23601;&#19994;&#19968;&#27425;&#24615;&#20132;&#36890;&#34917;&#21161;&#33457;&#21517;&#20876;.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2024&#24180;&#21306;&#22806;&#20132;&#36890;&#21644;&#21439;&#20869;&#21153;&#24037;\&#21306;&#22806;&#20132;&#36890;&#34917;&#36148;\&#21306;&#22806;8.12\2024&#24180;&#33073;&#36139;&#21171;&#21160;&#21147;&#36328;&#30465;&#23601;&#19994;&#19968;&#27425;&#24615;&#20132;&#36890;&#34917;&#21161;-&#20013;&#28193;&#39640;&#22369;&#40644;&#22235;&#21016;&#21551;&#39034;\2024&#24180;&#33073;&#36139;&#21171;&#21160;&#21147;&#36328;&#30465;&#23601;&#19994;&#19968;&#27425;&#24615;&#20132;&#36890;&#34917;&#21161;-&#20013;&#28193;&#39640;&#22369;&#40644;&#22235;&#21016;&#21551;&#39034;\&#38468;&#20214;6&#65306;&#40575;&#23528;&#21439;&#33073;&#36139;&#21171;&#21160;&#21147;&#36328;&#30465;&#23601;&#19994;&#19968;&#27425;&#24615;&#20132;&#36890;&#34917;&#21161;&#33457;&#21517;&#20876;.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2024&#24180;&#21306;&#22806;&#20132;&#36890;&#21644;&#21439;&#20869;&#21153;&#24037;\&#21306;&#22806;&#20132;&#36890;&#34917;&#36148;\&#21306;&#22806;8.12\&#65288;&#30707;&#35760;&#39134;&#12289;&#30707;&#19996;&#25143;&#65289;&#22806;&#20986;&#21153;&#24037;&#20132;&#36890;&#34917;&#21161;&#30003;&#35831;&#26448;&#26009;\&#30707;&#19996;&#25143;3&#20154;&#65306;&#38886;&#23447;&#33521;&#12289;&#35768;&#26149;&#12289;&#30707;&#19996;\&#30707;&#19996;\&#38468;&#20214;6&#65306;&#40575;&#23528;&#21439;&#33073;&#36139;&#21171;&#21160;&#21147;&#36328;&#30465;&#23601;&#19994;&#19968;&#27425;&#24615;&#20132;&#36890;&#34917;&#21161;&#33457;&#21517;&#20876;&#65288;&#30707;&#19996;&#6528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2024&#24180;&#21306;&#22806;&#20132;&#36890;&#21644;&#21439;&#20869;&#21153;&#24037;\&#21306;&#22806;&#20132;&#36890;&#34917;&#36148;\&#21306;&#22806;8.12\&#65288;&#30707;&#35760;&#39134;&#12289;&#30707;&#19996;&#25143;&#65289;&#22806;&#20986;&#21153;&#24037;&#20132;&#36890;&#34917;&#21161;&#30003;&#35831;&#26448;&#26009;\&#30707;&#19996;&#25143;3&#20154;&#65306;&#38886;&#23447;&#33521;&#12289;&#35768;&#26149;&#12289;&#30707;&#19996;\&#38886;&#23447;&#33521;\&#38468;&#20214;6&#65306;&#40575;&#23528;&#21439;&#33073;&#36139;&#21171;&#21160;&#21147;&#36328;&#30465;&#23601;&#19994;&#19968;&#27425;&#24615;&#20132;&#36890;&#34917;&#21161;&#33457;&#21517;&#20876;&#65288;&#38886;&#23447;&#33521;&#6528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2024&#24180;&#21306;&#22806;&#20132;&#36890;&#21644;&#21439;&#20869;&#21153;&#24037;\&#21306;&#22806;&#20132;&#36890;&#34917;&#36148;\&#21306;&#22806;8.12\&#26449;&#22996;&#20844;&#31034;\&#65288;&#30707;&#35760;&#39134;&#12289;&#30707;&#19996;&#25143;&#65289;&#22806;&#20986;&#21153;&#24037;&#20132;&#36890;&#34917;&#21161;&#30003;&#35831;&#26448;&#26009;\&#30707;&#19996;&#25143;3&#20154;&#65306;&#38886;&#23447;&#33521;&#12289;&#35768;&#26149;&#12289;&#30707;&#19996;\&#35768;&#26149;\&#38468;&#20214;6&#65306;&#40575;&#23528;&#21439;&#33073;&#36139;&#21171;&#21160;&#21147;&#36328;&#30465;&#23601;&#19994;&#19968;&#27425;&#24615;&#20132;&#36890;&#34917;&#21161;&#33457;&#21517;&#20876;&#65288;&#35768;&#26149;&#6528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LK\Desktop\2024&#24180;&#21153;&#24037;&#30003;&#35831;&#23665;&#23574;&#27719;&#24635;\&#21306;&#22806;&#21153;&#24037;\&#30003;&#35831;&#26448;&#26009;\&#38886;&#23500;&#23815;\&#38886;&#23500;&#23815;--&#38468;&#20214;6&#65306;&#40575;&#23528;&#21439;&#21069;&#24448;&#24191;&#35199;&#21306;&#22806;&#21153;&#24037;&#30340;&#33073;&#36139;&#21171;&#21160;&#21147;&#19968;&#27425;&#24615;&#20132;&#36890;&#34917;&#21161;&#33457;&#21517;&#20876;.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Users\Administrator\Desktop\&#20132;&#36890;&#34917;&#25991;&#20214;\&#12304;1&#12305;&#26448;&#26009;\&#31532;2&#25209;\&#36328;&#30465;\&#26448;&#26009;\&#38468;&#20214;6&#65306;&#65288;&#25130;&#27490;8&#26376;15-&#23665;&#23574;&#26449;&#65289;&#40575;&#23528;&#21439;&#21069;&#24448;&#24191;&#35199;&#21306;&#22806;&#21153;&#24037;&#30340;&#33073;&#36139;&#21171;&#21160;&#21147;&#19968;&#27425;&#24615;&#20132;&#36890;&#34917;&#21161;&#33457;&#21517;&#20876;.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sers\Administrator\Desktop\&#20132;&#36890;&#34917;&#25991;&#20214;\&#12304;1&#12305;&#26448;&#26009;\&#31532;2&#25209;\&#36328;&#30465;\&#26448;&#26009;\&#38468;&#20214;6&#65306;&#28504;&#22313;&#65289;&#40575;&#23528;&#21439;&#33073;&#36139;&#21171;&#21160;&#21147;&#36328;&#30465;&#23601;&#19994;&#19968;&#27425;&#24615;&#20132;&#36890;&#34917;&#21161;&#33457;&#21517;&#20876;(6).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Administrator\Desktop\&#20132;&#36890;&#34917;&#25991;&#20214;\&#12304;1&#12305;&#26448;&#26009;\&#31532;2&#25209;\&#36328;&#30465;\&#26448;&#26009;\&#38468;&#20214;6&#65306;&#23528;&#19978;&#40575;&#23528;&#21439;&#33073;&#36139;&#21171;&#21160;&#21147;&#36328;&#30465;&#23601;&#19994;&#19968;&#27425;&#24615;&#20132;&#36890;&#34917;&#21161;&#33457;&#21517;&#20876;(5).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2024&#36328;&#30465;&#20132;&#36890;&#34917;&#36148;&#26448;&#26009;\&#30003;&#35831;&#26448;&#26009;\&#65288;&#21346;&#26223;&#27700;&#25143;&#65289;&#40575;&#23528;&#21439;2024&#24180;&#33073;&#36139;&#21171;&#21160;&#21147;&#36328;&#30465;&#23601;&#19994;&#19968;&#27425;&#24615;&#20132;&#36890;&#34917;&#21161;&#33457;&#21517;&#20876;.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Users\ADMINI~1\AppData\Local\Temp\Rar$DIa8816.25587\&#38468;&#20214;6&#65306;&#40575;&#23528;&#21439;&#21069;&#24448;&#24191;&#35199;&#21306;&#22806;&#21153;&#24037;&#30340;&#33073;&#36139;&#21171;&#21160;&#21147;&#19968;&#27425;&#24615;&#24448;&#36820;&#20132;&#36890;&#34917;&#21161;&#33457;&#21517;&#20876;&#65288;&#24278;&#22269;&#21326;&#22827;&#22919;&#65289;.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2024&#36328;&#30465;&#20132;&#36890;&#34917;&#36148;&#26448;&#26009;\&#30003;&#35831;&#26448;&#26009;\&#65288;&#24278;&#22269;&#25996;&#65289;&#40575;&#23528;&#21439;&#33073;&#36139;&#21171;&#21160;&#21147;&#36328;&#30465;&#23601;&#19994;&#19968;&#27425;&#24615;&#20132;&#36890;&#34917;&#21161;&#33457;&#21517;&#20876;.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2024&#36328;&#30465;&#20132;&#36890;&#34917;&#36148;&#26448;&#26009;\&#30003;&#35831;&#26448;&#26009;\&#24278;&#24352;&#26032;&#38468;&#20214;6&#65306;&#40575;&#23528;&#21439;&#33073;&#36139;&#21171;&#21160;&#21147;&#36328;&#30465;&#23601;&#19994;&#19968;&#27425;&#24615;&#20132;&#36890;&#34917;&#21161;&#33457;&#21517;&#20876;.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2024&#36328;&#30465;&#20132;&#36890;&#34917;&#36148;&#26448;&#26009;\&#30003;&#35831;&#26448;&#26009;\&#38468;&#20214;6&#65306;&#40575;&#23528;&#21439;&#33073;&#36139;&#21171;&#21160;&#21147;&#36328;&#30465;&#23601;&#19994;&#19968;&#27425;&#24615;&#20132;&#36890;&#34917;&#21161;&#33457;&#21517;&#20876;&#65288;&#34013;&#31168;&#20964;&#65289;.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Users\ADMINI~1\AppData\Local\Temp\Rar$DIa5520.1051\&#38468;&#20214;6&#65306;&#40575;&#23528;&#21439;&#21069;&#24448;&#24191;&#35199;&#21306;&#22806;&#21153;&#24037;&#30340;&#33073;&#36139;&#21171;&#21160;&#21147;&#19968;&#27425;&#24615;&#24448;&#36820;&#20132;&#36890;&#34917;&#21161;&#33457;&#21517;&#20876;&#65288;&#24278;&#22269;&#21326;&#22827;&#22919;&#65289;.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2024&#36328;&#30465;&#20132;&#36890;&#34917;&#36148;&#26448;&#26009;\&#30003;&#35831;&#26448;&#26009;\&#24278;&#28504;&#38745;&#30465;&#22806;&#19968;&#27425;&#24615;&#20132;&#36890;&#34917;&#21161;&#26448;&#26009;\&#38468;&#20214;6&#65306;&#40575;&#23528;&#21439;&#21069;&#24448;&#24191;&#35199;&#21306;&#22806;&#21153;&#24037;&#30340;&#33073;&#36139;&#21171;&#21160;&#21147;&#19968;&#27425;&#24615;&#24448;&#36820;&#20132;&#36890;&#34917;&#21161;&#33457;&#21517;&#20876;.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Administrator\AppData\Local\Temp\Rar$DIa3356.46731\&#38468;&#20214;6&#65306;&#40575;&#23528;&#21439;&#33073;&#36139;&#21171;&#21160;&#21147;&#36328;&#30465;&#23601;&#19994;&#19968;&#27425;&#24615;&#20132;&#36890;&#34917;&#21161;&#33457;&#21517;&#20876;.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Users\Administrator\AppData\Local\Temp\Rar$DIa9428.38168\&#38468;&#20214;6&#65306;&#24278;&#32418;&#20025;&#40575;&#23528;&#21439;&#33073;&#36139;&#21171;&#21160;&#21147;&#36328;&#30465;&#23601;&#19994;&#19968;&#27425;&#24615;&#20132;&#36890;&#34917;&#21161;&#33457;&#21517;&#20876;.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Users\Administrator\AppData\Local\Temp\Rar$DIa10800.18973\&#38468;&#20214;6&#65306;&#40575;&#23528;&#21439;&#33073;&#36139;&#21171;&#21160;&#21147;&#36328;&#30465;&#23601;&#19994;&#19968;&#27425;&#24615;&#20132;&#36890;&#34917;&#21161;&#33457;&#21517;&#20876;.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Users\Administrator\AppData\Local\Temp\Rar$DIa1848.33719\&#38468;&#20214;6&#65306;&#40575;&#23528;&#21439;&#33073;&#36139;&#21171;&#21160;&#21147;&#36328;&#30465;&#23601;&#19994;&#19968;&#27425;&#24615;&#20132;&#36890;&#34917;&#21161;&#33457;&#21517;&#20876;.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Users\Administrator\AppData\Local\Temp\Rar$DIa6096.28892\&#38468;&#20214;6&#65306;&#40575;&#23528;&#21439;&#33073;&#36139;&#21171;&#21160;&#21147;&#36328;&#30465;&#23601;&#19994;&#19968;&#27425;&#24615;&#20132;&#36890;&#34917;&#21161;&#33457;&#21517;&#20876;.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Users\ADMINI~1\AppData\Local\Temp\Rar$DIa11604.49877\&#38468;&#20214;6&#65306;&#40575;&#23528;&#21439;&#33073;&#36139;&#21171;&#21160;&#21147;&#36328;&#30465;&#23601;&#19994;&#19968;&#27425;&#24615;&#20132;&#36890;&#34917;&#21161;&#33457;&#21517;&#20876;.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2&#32599;&#31179;&#20113;&#26448;&#26009;\1&#25206;&#36139;\2023&#24180;\&#21153;&#24037;&#34917;&#36148;\&#24278;&#33402;&#36328;&#30465;&#23601;&#19994;&#19968;&#27425;&#24615;&#20132;&#36890;&#34917;&#21161;&#30003;&#35831;&#26448;&#26009;\&#24278;&#33402;&#65288;&#24278;&#21487;&#29699;&#20799;&#23376;&#65289;&#36328;&#30465;&#23601;&#19994;&#19968;&#27425;&#24615;&#20132;&#36890;&#34917;&#21161;&#30003;&#35831;&#26448;&#26009;2023.11\&#38468;&#20214;6&#65306;&#40575;&#23528;&#21439;&#21069;&#24448;&#24191;&#35199;&#21306;&#22806;&#21153;&#24037;&#30340;&#33073;&#36139;&#21171;&#21160;&#21147;&#19968;&#27425;&#24615;&#20132;&#36890;&#34917;&#21161;&#33457;&#21517;&#20876;.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27575;&#22825;&#23453;\2024&#20132;&#36890;&#34917;&#36148;\&#20851;&#20110;&#20570;&#22909;2024&#24180;&#33073;&#36139;&#21171;&#21160;&#21147;&#36328;&#30465;&#23601;&#19994;&#19968;&#27425;&#24615;&#20132;&#36890;&#34917;&#21161;&#24037;&#20316;&#30340;&#36890;&#30693;\&#21346;&#26085;&#21452;\&#38468;&#20214;6&#65306;&#40575;&#23528;&#21439;&#21069;&#24448;&#24191;&#35199;&#21306;&#22806;&#21153;&#24037;&#30340;&#33073;&#36139;&#21171;&#21160;&#21147;&#19968;&#27425;&#24615;&#24448;&#36820;&#20132;&#36890;&#34917;&#21161;&#33457;&#21517;&#20876;&#65288;&#24278;&#22269;&#21326;&#22827;&#22919;&#65289;.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25206;&#36139;&#24037;&#20316;&#65288;&#20013;&#28193;&#40644;&#26449;&#26449;&#65289;\&#21346;&#26223;&#20964;\2023&#24180;&#25206;&#36139;&#24037;&#20316;\2023&#24180;&#36328;&#30465;&#23601;&#19994;&#19968;&#27425;&#24615;&#20132;&#36890;&#34917;&#21161;&#30003;&#35831;&#26448;&#26009;&#65288;&#21346;&#26223;&#20964;&#12289;&#26446;&#29233;&#24544;&#22827;&#22919;&#65289;\&#21346;&#26085;&#26578;\&#38468;&#20214;6&#65306;&#40575;&#23528;&#21439;&#21069;&#24448;&#24191;&#35199;&#21306;&#22806;&#21153;&#24037;&#30340;&#33073;&#36139;&#21171;&#21160;&#21147;&#19968;&#27425;&#24615;&#24448;&#36820;&#20132;&#36890;&#34917;&#21161;&#33457;&#21517;&#20876;&#65288;&#21346;&#26223;&#20964;&#20043;&#23376;&#21346;&#26085;&#26578;&#65289;.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Users\Administrator\AppData\Local\Temp\Rar$DIa9152.24025\&#38468;&#20214;6&#65306;&#40575;&#23528;&#21439;&#33073;&#36139;&#21171;&#21160;&#21147;&#36328;&#30465;&#23601;&#19994;&#19968;&#27425;&#24615;&#20132;&#36890;&#34917;&#21161;&#33457;&#21517;&#20876;.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65288;&#39558;&#32461;&#24179;&#12289;&#24278;&#23567;&#23011;&#65289;&#38468;&#20214;6&#65306;&#40575;&#23528;&#21439;&#33073;&#36139;&#21171;&#21160;&#21147;&#36328;&#30465;&#23601;&#19994;&#19968;&#27425;&#24615;&#20132;&#36890;&#34917;&#21161;&#33457;&#21517;&#20876;.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Users\ADMINI~1\AppData\Local\Temp\Rar$DIa0.800\&#38468;&#20214;6&#65306;&#40575;&#23528;&#21439;&#21069;&#24448;&#24191;&#35199;&#21306;&#22806;&#21153;&#24037;&#30340;&#33073;&#36139;&#21171;&#21160;&#21147;&#19968;&#27425;&#24615;&#24448;&#36820;&#20132;&#36890;&#34917;&#21161;&#33457;&#21517;&#20876;.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21556;&#24544;&#21191;&#24037;&#20316;&#36164;&#26009;\2024&#24180;&#38450;&#36139;&#24037;&#20316;\2023&#24180;&#38450;&#36139;&#24037;&#20316;\2023&#24180;&#21306;&#22806;&#19968;&#27425;&#24615;&#20132;&#36890;&#34917;&#36148;&#27719;&#24635;\&#38468;&#20214;6&#65306;&#40575;&#23528;&#21439;&#21069;&#24448;&#24191;&#35199;&#21306;&#22806;&#21153;&#24037;&#30340;&#33073;&#36139;&#21171;&#21160;&#21147;&#19968;&#27425;&#24615;&#20132;&#36890;&#34917;&#21161;&#33457;&#21517;&#20876;.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Users\Administrator\Desktop\&#20132;&#36890;&#34917;&#25991;&#20214;\&#12304;1&#12305;&#26448;&#26009;\&#31532;2&#25209;\&#36328;&#30465;\&#26448;&#26009;\&#65288;&#22823;&#20806;&#31532;&#20108;&#25209;&#65289;&#38468;&#20214;6&#65306;&#40575;&#23528;&#21439;&#33073;&#36139;&#21171;&#21160;&#21147;&#36328;&#30465;&#23601;&#19994;&#19968;&#27425;&#24615;&#20132;&#36890;&#34917;&#21161;&#33457;&#21517;&#20876;(1).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Users\Administrator\Desktop\&#20132;&#36890;&#34917;&#25991;&#20214;\&#12304;1&#12305;&#26448;&#26009;\&#31532;2&#25209;\&#36328;&#30465;\&#26448;&#26009;\&#65288;&#22823;&#20806;&#26449;&#65289;&#38468;&#20214;6&#65306;&#40575;&#23528;&#21439;&#33073;&#36139;&#21171;&#21160;&#21147;&#36328;&#30465;&#23601;&#19994;&#19968;&#27425;&#24615;&#20132;&#36890;&#34917;&#21161;&#33457;&#21517;&#20876;.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Users\Administrator\Desktop\2024&#24180;&#19968;&#27425;&#24615;&#20132;&#36890;&#34917;&#26448;&#26009;\&#31532;&#19968;&#25209;\&#38886;&#32736;&#26376;&#36328;&#30465;&#23601;&#19994;&#19968;&#27425;&#24615;&#20132;&#36890;&#34917;&#21161;&#30003;&#35831;&#26448;&#26009;\&#38468;&#20214;6&#65306;&#40575;&#23528;&#21439;&#33073;&#36139;&#21171;&#21160;&#21147;&#36328;&#30465;&#23601;&#19994;&#19968;&#27425;&#24615;&#20132;&#36890;&#34917;&#21161;&#33457;&#21517;&#20876;&#65288;&#38886;&#32736;&#26376;&#65289;.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Users\Administrator\Desktop\2024&#24180;&#19968;&#27425;&#24615;&#20132;&#36890;&#34917;&#26448;&#26009;\&#31532;&#19968;&#25209;\&#26446;&#20029;&#21306;&#22806;&#21153;&#24037;&#34917;&#21161;\&#38468;&#20214;6&#65306;&#40575;&#23528;&#21439;&#33073;&#36139;&#21171;&#21160;&#21147;&#36328;&#30465;&#23601;&#19994;&#19968;&#27425;&#24615;&#20132;&#36890;&#34917;&#21161;&#33457;&#21517;&#20876;.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Users\Administrator\Desktop\2024&#24180;&#19968;&#27425;&#24615;&#20132;&#36890;&#34917;&#26448;&#26009;\&#31532;&#19968;&#25209;\&#65288;&#24464;&#23567;&#26631;--2024&#24180;&#65289;&#30003;&#35831;&#21306;&#22806;&#21153;&#24037;&#20132;&#36890;&#34917;&#36148;&#26448;&#26009;\&#65288;&#24464;&#23567;&#26631;%202024&#24180;&#65289;&#38468;&#20214;6&#65306;&#40575;&#23528;&#21439;&#33073;&#36139;&#21171;&#21160;&#21147;&#36328;&#30465;&#23601;&#19994;&#19968;&#27425;&#24615;&#20132;&#36890;&#34917;&#21161;&#33457;&#21517;&#20876;.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Users\Administrator\Desktop\2024&#24180;&#19968;&#27425;&#24615;&#20132;&#36890;&#34917;&#26448;&#26009;\&#31532;&#19968;&#25209;\2024&#24180;-&#21556;&#33635;&#20817;-&#36328;&#30465;&#21153;&#24037;&#34917;&#36148;&#30003;&#35831;\&#21556;&#33635;&#20817;--&#38468;&#20214;6&#65306;&#40575;&#23528;&#21439;&#21069;&#24448;&#24191;&#35199;&#21306;&#22806;&#21153;&#24037;&#30340;&#33073;&#36139;&#21171;&#21160;&#21147;&#19968;&#27425;&#24615;&#20132;&#36890;&#34917;&#21161;&#33457;&#21517;&#20876;.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Administrator\Desktop\2024&#24180;&#19968;&#27425;&#24615;&#20132;&#36890;&#34917;&#26448;&#26009;\&#31532;&#19968;&#25209;\&#38472;&#24544;&#27491;&#20132;&#36890;&#34917;&#36148;\&#38472;&#24544;&#27491;&#20132;&#36890;&#34917;&#36148;\&#38468;&#20214;6&#65306;&#40575;&#23528;&#21439;&#33073;&#36139;&#21171;&#21160;&#21147;&#36328;&#30465;&#23601;&#19994;&#19968;&#27425;&#24615;&#20132;&#36890;&#34917;&#21161;&#33457;&#21517;&#20876;.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Users\Administrator\Desktop\2024&#24180;&#19968;&#27425;&#24615;&#20132;&#36890;&#34917;&#26448;&#26009;\&#31532;&#19968;&#25209;\&#38518;&#20029;&#29618;&#21306;&#22806;&#21153;&#24037;&#34917;&#21161;\&#38468;&#20214;6&#65306;&#40575;&#23528;&#21439;&#33073;&#36139;&#21171;&#21160;&#21147;&#36328;&#30465;&#23601;&#19994;&#19968;&#27425;&#24615;&#20132;&#36890;&#34917;&#21161;&#33457;&#21517;&#20876;.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Users\Administrator\Desktop\2024&#24180;&#19968;&#27425;&#24615;&#20132;&#36890;&#34917;&#26448;&#26009;\&#31532;&#19968;&#25209;\&#21556;&#23439;&#25996;\&#38468;&#20214;6&#65306;&#40575;&#23528;&#21439;&#33073;&#36139;&#21171;&#21160;&#21147;&#36328;&#30465;&#23601;&#19994;&#19968;&#27425;&#24615;&#20132;&#36890;&#34917;&#21161;&#33457;&#21517;&#20876;&#65288;&#21556;&#23439;&#25996;&#65289;.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Users\Administrator\Desktop\2024&#24180;&#19968;&#27425;&#24615;&#20132;&#36890;&#34917;&#26448;&#26009;\&#31532;&#19968;&#25209;\&#24464;&#24544;&#21326;&#20132;&#36890;&#34917;&#21161;\&#65288;&#24464;&#24544;&#21326;&#65289;&#38468;&#20214;6&#65306;&#40575;&#23528;&#21439;&#33073;&#36139;&#21171;&#21160;&#21147;&#36328;&#30465;&#23601;&#19994;&#19968;&#27425;&#24615;&#20132;&#36890;&#34917;&#21161;&#33457;&#21517;&#20876;.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Users\Administrator\Desktop\&#20309;&#31179;&#29618;&#20132;&#36890;&#34917;&#36148;&#30003;&#35831;\&#38468;&#20214;6&#65306;&#40575;&#23528;&#21439;&#33073;&#36139;&#21171;&#21160;&#21147;&#36328;&#30465;&#23601;&#19994;&#19968;&#27425;&#24615;&#20132;&#36890;&#34917;&#21161;&#33457;&#21517;&#20876;.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Users\Administrator\Desktop\&amp;&#65288;&#24352;&#33541;&#38082;&#12289;&#38518;&#20029;&#21326;&#65289;2024&#24180;&#19968;&#27425;&#24615;&#20132;&#36890;&#34917;&#36148;&#30003;&#35831;&#26448;&#26009;\&#38468;&#20214;6&#65306;&#40575;&#23528;&#21439;&#33073;&#36139;&#21171;&#21160;&#21147;&#36328;&#30465;&#23601;&#19994;&#19968;&#27425;&#24615;&#20132;&#36890;&#34917;&#21161;&#33457;&#21517;&#20876;.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Users\Administrator\Desktop\2024&#24180;&#19968;&#27425;&#24615;&#20132;&#36890;&#34917;&#26448;&#26009;\&#31532;&#19968;&#25209;\&#20911;&#25391;&#21457;&#36328;&#30465;&#21153;&#24037;&#19968;&#27425;&#24615;&#20132;&#36890;&#34917;&#36148;&#30003;&#35831;\&#38468;&#20214;6&#65306;&#40575;&#23528;&#21439;&#33073;&#36139;&#21171;&#21160;&#21147;&#36328;&#30465;&#23601;&#19994;&#19968;&#27425;&#24615;&#20132;&#36890;&#34917;&#21161;&#33457;&#21517;&#20876;(1).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Users\Administrator\Desktop\2024&#24180;&#19968;&#27425;&#24615;&#20132;&#36890;&#34917;&#26448;&#26009;\&#31532;&#19968;&#25209;\&#24352;&#24314;&#26126;&#20132;&#36890;&#34917;\&#38468;&#20214;6&#65306;&#40575;&#23528;&#21439;&#21069;&#24448;&#24191;&#35199;&#21306;&#22806;&#21153;&#24037;&#30340;&#33073;&#36139;&#21171;&#21160;&#21147;&#19968;&#27425;&#24615;&#20132;&#36890;&#34917;&#21161;&#33457;&#21517;&#20876;(1).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20848;&#19990;&#35850;&#24037;&#20316;&#25991;&#20214;\4&#12289;&#25206;&#36139;&#30456;&#20851;&#26448;&#26009;\2023&#24180;\&#20132;&#36890;&#34917;&#36148;\&#24464;&#20975;&#26480;&#22840;&#30465;&#20132;&#36890;&#34917;&#36148;\&#38468;&#20214;6&#65306;&#40575;&#23528;&#21439;&#21069;&#24448;&#24191;&#35199;&#21306;&#22806;&#21153;&#24037;&#30340;&#33073;&#36139;&#21171;&#21160;&#21147;&#19968;&#27425;&#24615;&#20132;&#36890;&#34917;&#21161;&#33457;&#21517;&#20876;&#65288;&#24464;&#20975;&#26480;&#65289;.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Users\Administrator\Desktop\2024&#24180;&#19968;&#27425;&#24615;&#20132;&#36890;&#34917;&#26448;&#26009;\&#31532;&#19968;&#25209;2\&#40644;&#29577;&#28165;&#65292;&#24464;&#20975;&#26480;&#22806;&#20986;&#21153;&#24037;&#20132;&#36890;&#34917;&#36148;&#26448;&#26009;\&#38468;&#20214;6&#65306;&#40575;&#23528;&#21439;&#33073;&#36139;&#21171;&#21160;&#21147;&#36328;&#30465;&#23601;&#19994;&#19968;&#27425;&#24615;&#20132;&#36890;&#34917;&#21161;&#33457;&#21517;&#20876;.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Users\Administrator\Desktop\2023&#24180;&#20132;&#36890;&#34917;&#26448;&#26009;\&#31532;&#19971;&#25209;&#20132;&#36890;&#34917;&#26448;&#26009;\&#38468;&#20214;6&#65306;&#65288;&#40857;&#26757;&#20848;&#12289;&#32599;&#29486;&#22996;&#65289;&#40575;&#23528;&#21439;&#21069;&#24448;&#24191;&#35199;&#21306;&#22806;&#21153;&#24037;&#30340;&#33073;&#36139;&#21171;&#21160;&#21147;&#19968;&#27425;&#24615;&#20132;&#36890;&#34917;&#21161;&#33457;&#21517;&#20876;.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ome\thtf\&#25991;&#26723;\xwechat_files\samnzyibeizi_2adc\msg\file\2024-08\&#38468;&#20214;6&#65306;&#40575;&#23528;&#21439;&#33073;&#36139;&#21171;&#21160;&#21147;&#36328;&#30465;&#23601;&#19994;&#19968;&#27425;&#24615;&#20132;&#36890;&#34917;&#21161;&#33457;&#21517;&#20876;(1).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Users\Administrator\Desktop\&#20132;&#36890;&#34917;&#25991;&#20214;\&#12304;1&#12305;&#26448;&#26009;\&#31532;2&#25209;\&#36328;&#30465;\&#26448;&#26009;\&#38468;&#20214;6&#65306;&#65288;&#36125;&#22616;&#40575;&#23528;&#21439;&#33073;&#36139;&#21171;&#21160;&#21147;&#36328;&#30465;&#23601;&#19994;&#19968;&#27425;&#24615;&#20132;&#36890;&#34917;&#21161;&#33457;&#21517;&#20876;(8).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Users\Administrator\Desktop\&#20132;&#36890;&#34917;&#25991;&#20214;\&#12304;1&#12305;&#26448;&#26009;\&#31532;2&#25209;\&#36328;&#30465;\&#26448;&#26009;\&#65288;&#20197;&#27492;&#20026;&#20934;&#65289;&#65288;&#40644;&#33098;&#31532;&#19968;&#25209;8.19&#65289;&#38468;&#20214;6&#65306;&#40575;&#23528;&#21439;&#33073;&#36139;&#21171;&#21160;&#21147;&#36328;&#30465;&#23601;&#19994;&#19968;&#27425;&#24615;&#20132;&#36890;&#34917;&#21161;&#33457;&#21517;&#20876;.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D:\Users\Administrator\AppData\Local\Temp\360zip$Temp\360$0\&#65288;&#24278;&#24198;&#38451;&#65289;&#38468;&#20214;6&#65306;&#40575;&#23528;&#21439;&#33073;&#36139;&#21171;&#21160;&#21147;&#36328;&#30465;&#23601;&#19994;&#19968;&#27425;&#24615;&#20132;&#36890;&#34917;&#21161;&#33457;&#21517;&#20876;.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8\&#38468;&#20214;6&#65306;&#40575;&#23528;&#21439;&#33073;&#36139;&#21171;&#21160;&#21147;&#36328;&#30465;&#23601;&#19994;&#19968;&#27425;&#24615;&#20132;&#36890;&#34917;&#21161;&#33457;&#21517;&#20876;(7).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Users\Administrator\AppData\Local\Temp\Rar$DIa3564.48743\&#38468;&#20214;6&#65306;&#40575;&#23528;&#21439;&#21069;&#24448;&#24191;&#35199;&#21306;&#22806;&#21153;&#24037;&#30340;&#33073;&#36139;&#21171;&#21160;&#21147;&#19968;&#27425;&#24615;&#20132;&#36890;&#34917;&#21161;&#33457;&#21517;&#20876;.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Users\Administrator\AppData\Local\Temp\Rar$DIa5356.29411\&#65288;&#40644;&#20908;&#26757;&#65289;&#38468;&#20214;6&#65306;&#40575;&#23528;&#21439;&#21069;&#24448;&#24191;&#35199;&#21306;&#22806;&#21153;&#24037;&#30340;&#33073;&#36139;&#21171;&#21160;&#21147;&#19968;&#27425;&#24615;&#20132;&#36890;&#34917;&#21161;&#33457;&#21517;&#20876;.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Users\Administrator\AppData\Local\Temp\Rar$DIa5356.41342\&#65288;&#24278;&#23453;&#20840;&#65289;&#38468;&#20214;6&#65306;&#40575;&#23528;&#21439;&#21069;&#24448;&#24191;&#35199;&#21306;&#22806;&#21153;&#24037;&#30340;&#33073;&#36139;&#21171;&#21160;&#21147;&#19968;&#27425;&#24615;&#20132;&#36890;&#34917;&#21161;&#33457;&#21517;&#20876;.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Users\Administrator\AppData\Local\Temp\Rar$DIa5356.47708\&#65288;&#24278;&#24039;&#29577;&#65289;&#38468;&#20214;6&#65306;&#40575;&#23528;&#21439;&#21069;&#24448;&#24191;&#35199;&#21306;&#22806;&#21153;&#24037;&#30340;&#33073;&#36139;&#21171;&#21160;&#21147;&#19968;&#27425;&#24615;&#20132;&#36890;&#34917;&#21161;&#33457;&#21517;&#20876;.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Users\Administrator\Desktop\&#20132;&#36890;&#34917;&#25991;&#20214;\&#12304;1&#12305;&#26448;&#26009;\&#31532;2&#25209;\&#36328;&#30465;\&#26448;&#26009;\&#40644;&#26449;&#26449;2024&#31532;&#20108;&#25209;&#40575;&#23528;&#21439;&#21069;&#24448;&#24191;&#35199;&#21306;&#22806;&#21153;&#24037;&#30340;&#33073;&#36139;&#21171;&#21160;&#21147;&#19968;&#27425;&#24615;&#20132;&#36890;&#34917;&#21161;&#33457;&#21517;&#20876;(0820.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D:\Users\Administrator\AppData\Local\Temp\HZ$D.678.3573\HZ$D.678.3574\&#38886;&#24191;&#26126;&#12289;&#38886;&#23500;&#35946;&#12289;&#33707;&#38886;&#20964;&#36328;&#30465;&#21153;&#24037;&#20132;&#36890;&#34917;&#21161;\&#38468;&#20214;6&#65306;&#40575;&#23528;&#21439;&#33073;&#36139;&#21171;&#21160;&#21147;&#36328;&#30465;&#23601;&#19994;&#19968;&#27425;&#24615;&#20132;&#36890;&#34917;&#21161;&#33457;&#21517;&#20876;.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D:\&#25105;&#30340;&#25991;&#26723;\Documents\WeChat%20Files\wxid_urwer6n7qj7c22\FileStorage\File\2024-08\&#38468;&#20214;6&#65306;&#40575;&#23528;&#21439;&#33073;&#36139;&#21171;&#21160;&#21147;&#36328;&#30465;&#23601;&#19994;&#19968;&#27425;&#24615;&#20132;&#36890;&#34917;&#21161;&#33457;&#21517;&#20876;.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25105;&#30340;&#25991;&#26723;\Documents\WeChat%20Files\wxid_urwer6n7qj7c22\FileStorage\File\2024-08\&#38468;&#20214;6&#65306;&#40575;&#23528;&#21439;&#33073;&#36139;&#21171;&#21160;&#21147;&#36328;&#30465;&#23601;&#19994;&#19968;&#27425;&#24615;&#20132;&#36890;&#34917;&#21161;&#33457;&#21517;&#20876;(1)(1).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8\&#38468;&#20214;6&#65306;&#40575;&#23528;&#21439;&#21069;&#24448;&#24191;&#35199;&#21306;&#22806;&#21153;&#24037;&#30340;&#33073;&#36139;&#21171;&#21160;&#21147;&#19968;&#27425;&#24615;&#20132;&#36890;&#34917;&#21161;&#33457;&#21517;&#20876;(2).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38472;&#22025;&#25935;\&#38468;&#20214;6&#65306;&#40575;&#23528;&#21439;&#21069;&#24448;&#24191;&#35199;&#21306;&#22806;&#21153;&#24037;&#30340;&#33073;&#36139;&#21171;&#21160;&#21147;&#19968;&#27425;&#24615;&#20132;&#36890;&#34917;&#21161;&#33457;&#21517;&#20876;.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D:\&#25105;&#30340;&#25991;&#26723;\Documents\WeChat%20Files\wxid_md1mbjzsnqkj22\FileStorage\File\2024-08\&#38468;&#20214;6&#65306;&#40575;&#23528;&#21439;&#33073;&#36139;&#21171;&#21160;&#21147;&#36328;&#30465;&#23601;&#19994;&#19968;&#27425;&#24615;&#20132;&#36890;&#34917;&#21161;&#33457;&#21517;&#20876;(&#26753;&#23567;&#32418;&#12289;&#40644;&#20339;&#35946;)(1).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8\&#38468;&#20214;6&#65306;&#40575;&#23528;&#21439;&#33073;&#36139;&#21171;&#21160;&#21147;&#36328;&#30465;&#23601;&#19994;&#19968;&#27425;&#24615;&#20132;&#36890;&#34917;&#21161;&#33457;&#21517;&#20876;(10).xlsx"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8\&#65288;&#33521;&#23665;&#31038;&#21306;&#65289;&#38468;&#20214;6&#65306;&#40575;&#23528;&#21439;&#33073;&#36139;&#21171;&#21160;&#21147;&#36328;&#30465;&#23601;&#19994;&#19968;&#27425;&#24615;&#20132;&#36890;&#34917;&#21161;&#33457;&#21517;&#20876;.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8\6.&#38468;&#20214;6&#65306;&#40575;&#23528;&#21439;&#33073;&#36139;&#21171;&#21160;&#21147;&#36328;&#30465;&#23601;&#19994;&#19968;&#27425;&#24615;&#20132;&#36890;&#34917;&#21161;&#33457;&#21517;&#20876;.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8\&#38468;&#20214;6&#65306;&#40575;&#23528;&#21439;&#33073;&#36139;&#21171;&#21160;&#21147;&#36328;&#30465;&#23601;&#19994;&#19968;&#27425;&#24615;&#20132;&#36890;&#34917;&#21161;&#33457;&#21517;&#20876;&#65288;&#30707;&#22696;&#26449;&#65289;(1).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2024&#24180;&#21306;&#22806;&#20132;&#36890;&#21644;&#21439;&#20869;&#21153;&#24037;\&#21306;&#22806;&#20132;&#36890;&#34917;&#36148;\8.19\&#20911;&#24076;&#35760;&#22806;&#20986;&#21153;&#24037;&#20132;&#36890;&#34917;&#36148;\&#38468;&#20214;6&#65306;&#40575;&#23528;&#21439;&#33073;&#36139;&#21171;&#21160;&#21147;&#36328;&#30465;&#23601;&#19994;&#19968;&#27425;&#24615;&#20132;&#36890;&#34917;&#21161;&#33457;&#21517;&#20876;.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2024&#24180;&#21306;&#22806;&#20132;&#36890;&#21644;&#21439;&#20869;&#21153;&#24037;\&#21306;&#22806;&#20132;&#36890;&#34917;&#36148;\8.19\&#65288;&#20094;&#21521;&#20911;&#24310;&#31456;&#65289;&#33073;&#36139;&#21171;&#21160;&#21147;&#36328;&#30465;&#23601;&#19994;&#19968;&#27425;&#24615;&#20132;&#36890;&#34917;&#21161;&#30003;&#35831;&#26448;&#26009;\&#65288;&#20094;&#21521;&#20911;&#24310;&#31456;&#65289;&#33073;&#36139;&#21171;&#21160;&#21147;&#36328;&#30465;&#23601;&#19994;&#19968;&#27425;&#24615;&#20132;&#36890;&#34917;&#21161;&#30003;&#35831;&#26448;&#26009;\&#65288;&#20094;&#21521;&#20911;&#24310;&#31456;&#65289;&#38468;&#20214;6&#65306;&#40575;&#23528;&#21439;&#33073;&#36139;&#21171;&#21160;&#21147;&#36328;&#30465;&#23601;&#19994;&#19968;&#27425;&#24615;&#20132;&#36890;&#34917;&#21161;&#33457;&#21517;&#20876;.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2024&#24180;&#21306;&#22806;&#20132;&#36890;&#21644;&#21439;&#20869;&#21153;&#24037;\&#21306;&#22806;&#20132;&#36890;&#34917;&#36148;\8.19\&#35203;&#20181;&#22269;&#20132;&#36890;&#34917;&#36148;&#30003;&#35831;&#26448;&#26009;\5.%20&#38468;&#20214;6&#65306;&#40575;&#23528;&#21439;&#33073;&#36139;&#21171;&#21160;&#21147;&#36328;&#30465;&#23601;&#19994;&#19968;&#27425;&#24615;&#20132;&#36890;&#34917;&#21161;&#33457;&#21517;&#20876;.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Users\Administrator\AppData\Local\Temp\Rar$DIa3136.15863\&#65288;&#33707;&#39034;&#32654;&#25143;&#65289;&#40575;&#23528;&#21439;&#21069;&#24448;&#24191;&#35199;&#21306;&#22806;&#21153;&#24037;&#30340;&#33073;&#36139;&#21171;&#21160;&#21147;&#19968;&#27425;&#24615;&#20132;&#36890;&#34917;&#21161;&#33457;&#21517;&#20876;.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D:\Users\Administrator\Desktop\&#20132;&#36890;&#34917;&#36148;-&#21776;&#21220;&#38470;\&#20132;&#36890;&#34917;&#36148;-&#21776;&#21220;&#38470;\&#38468;&#20214;6&#65306;&#40575;&#23528;&#21439;&#33073;&#36139;&#21171;&#21160;&#21147;&#36328;&#30465;&#23601;&#19994;&#19968;&#27425;&#24615;&#20132;&#36890;&#34917;&#21161;&#33457;&#21517;&#20876;.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Administrator\Desktop\&#31532;&#19977;&#25209;&#21153;&#24037;&#20004;&#34917;\&#26753;&#26494;&#20132;&#36890;&#34917;&#21161;%202024&#24180;\&#38468;&#20214;6&#65306;&#40575;&#23528;&#21439;&#33073;&#36139;&#21171;&#21160;&#21147;&#36328;&#30465;&#23601;&#19994;&#19968;&#27425;&#24615;&#20132;&#36890;&#34917;&#21161;&#33457;&#21517;&#20876;.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Users\Administrator\Desktop\&#31532;&#19977;&#25209;&#21153;&#24037;&#20004;&#34917;\&#35203;&#20025;&#34913;&#20132;&#36890;&#34917;&#21161;\&#38468;&#20214;6&#65306;&#40575;&#23528;&#21439;&#33073;&#36139;&#21171;&#21160;&#21147;&#36328;&#30465;&#23601;&#19994;&#19968;&#27425;&#24615;&#20132;&#36890;&#34917;&#21161;&#33457;&#21517;&#20876;.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Users\Administrator\Desktop\&#31532;&#19977;&#25209;&#21153;&#24037;&#20004;&#34917;\&#38886;&#23439;&#24426;&#20132;&#36890;&#34917;&#36148;\&#38468;&#20214;6&#65306;&#40575;&#23528;&#21439;&#21069;&#24448;&#24191;&#35199;&#21306;&#22806;&#21153;&#24037;&#30340;&#33073;&#36139;&#21171;&#21160;&#21147;&#19968;&#27425;&#24615;&#24448;&#36820;&#20132;&#36890;&#34917;&#21161;&#33457;&#21517;&#20876;.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8\&#38468;&#20214;6&#65306;&#40575;&#23528;&#21439;&#33073;&#36139;&#21171;&#21160;&#21147;&#36328;&#30465;&#23601;&#19994;&#19968;&#27425;&#24615;&#20132;&#36890;&#34917;&#21161;&#33457;&#21517;&#20876;(12).xlsx"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24050;&#23457;%20&#38468;&#20214;6&#65306;&#65288;&#31532;&#20108;&#25209;&#20013;&#28193;&#38215;0823&#20197;&#27492;&#20026;&#20934;)&#40575;&#23528;&#21439;&#33073;&#36139;&#21171;&#21160;&#21147;&#36328;&#30465;&#23601;&#19994;&#19968;&#27425;&#24615;&#20132;&#36890;&#34917;&#21161;&#33457;&#21517;&#20876;.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24050;&#23457;%20&#27743;&#21475;&#20065;&#40575;&#23528;&#21439;&#33073;&#36139;&#21171;&#21160;&#21147;&#36328;&#30465;&#23601;&#19994;&#19968;&#27425;&#24615;&#20132;&#36890;&#34917;&#21161;&#33457;&#21517;&#20876;(2).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38271;&#22412;&#26449;&#65289;&#36328;&#30465;&#20132;&#36890;&#34917;&#21161;&#33457;&#21517;&#20876;&#65288;&#31532;&#20108;&#25209;&#65289;.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30707;&#25490;&#26449;&#65289;&#36328;&#30465;&#20132;&#36890;&#34917;&#21161;&#33457;&#21517;&#20876;&#65288;&#31532;&#20108;&#25209;&#65289;.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E:\WeChat%20Files\WeChat%20Files\wxid_sk0rmhqiwdlp21\FileStorage\File\2024-08\&#38468;&#20214;6&#65306;&#65288;&#26449;&#22996;&#65289;&#36328;&#30465;&#20132;&#36890;&#34917;&#21161;&#33457;&#21517;&#20876;&#65288;&#34081;&#25391;&#31520;&#12289;&#26472;&#20908;&#29141;&#65289;.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38468;&#20214;6&#65306;&#65288;&#21476;&#25026;&#26449;&#31532;&#20108;&#25209;&#65289;&#40575;&#23528;&#21439;&#21069;&#24448;&#24191;&#35199;&#21306;&#22806;&#21153;&#24037;&#30340;&#33073;&#36139;&#21171;&#21160;&#21147;&#19968;&#27425;&#24615;&#24448;&#36820;&#20132;&#36890;&#34917;&#21161;&#33457;&#21517;&#20876;.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39547;&#26449;&#24037;&#20316;\&#20065;&#26449;&#25391;&#20852;\2024\2024&#36328;&#30465;&#20132;&#36890;&#34917;&#21161;&#21644;&#21439;&#20869;&#31283;&#23703;&#34917;&#21161;\&#31532;&#19968;&#25209;\&#36328;&#30465;&#20132;&#36890;&#34917;&#21161;\&#26446;&#24314;&#22238;&#22806;&#20986;&#30465;&#22806;&#21153;&#24037;\&#26446;&#24314;&#22238;&#65306;&#40575;&#23528;&#21439;&#33073;&#36139;&#21171;&#21160;&#21147;&#36328;&#30465;&#23601;&#19994;&#19968;&#27425;&#24615;&#20132;&#36890;&#34917;&#21161;&#33457;&#21517;&#20876;20240730.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39547;&#26449;&#24037;&#20316;\&#20065;&#26449;&#25391;&#20852;\2024\2024&#36328;&#30465;&#20132;&#36890;&#34917;&#21161;&#21644;&#21439;&#20869;&#31283;&#23703;&#34917;&#21161;\&#31532;&#19968;&#25209;\&#36328;&#30465;&#20132;&#36890;&#34917;&#21161;\&#21306;&#22806;&#21153;&#24037;&#20132;&#36890;&#34917;&#36148;&#30003;&#35831;&#65288;&#38886;&#21452;&#26519;&#12289;&#38886;&#21452;&#40857;&#65289;\1.&#40575;&#23528;&#21439;&#21069;&#24448;&#24191;&#35199;&#21306;&#22806;&#21153;&#24037;&#30340;&#33073;&#36139;&#21171;&#21160;&#21147;&#19968;&#27425;&#24615;&#24448;&#36820;&#20132;&#36890;&#34917;&#21161;&#33457;&#21517;&#20876;(&#38886;&#21452;&#26519;&#65289;.xlsx"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39547;&#26449;&#24037;&#20316;\&#20065;&#26449;&#25391;&#20852;\2024\2024&#36328;&#30465;&#20132;&#36890;&#34917;&#21161;&#21644;&#21439;&#20869;&#31283;&#23703;&#34917;&#21161;\&#31532;&#19968;&#25209;\&#36328;&#30465;&#20132;&#36890;&#34917;&#21161;\&#35203;&#37329;&#24378;.xlsx"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39547;&#26449;&#24037;&#20316;\&#20065;&#26449;&#25391;&#20852;\2024\2024&#36328;&#30465;&#20132;&#36890;&#34917;&#21161;&#21644;&#21439;&#20869;&#31283;&#23703;&#34917;&#21161;\&#31532;&#19968;&#25209;\&#36328;&#30465;&#20132;&#36890;&#34917;&#21161;\&#35885;&#24191;&#26124;&#21153;&#24037;&#20132;&#36890;&#34917;&#36148;&#26448;&#26009;\&#40644;&#22381;&#35885;&#36229;&#26519;&#25143;&#38468;&#20214;6&#65306;&#40575;&#23528;&#21439;&#33073;&#36139;&#21171;&#21160;&#21147;&#36328;&#30465;&#23601;&#19994;&#19968;&#27425;&#24615;&#20132;&#36890;&#34917;&#21161;&#33457;&#21517;&#20876;20240801.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39547;&#26449;&#24037;&#20316;\&#20065;&#26449;&#25391;&#20852;\2024\2024&#36328;&#30465;&#20132;&#36890;&#34917;&#21161;&#21644;&#21439;&#20869;&#31283;&#23703;&#34917;&#21161;\&#31532;&#19968;&#25209;\&#36328;&#30465;&#20132;&#36890;&#34917;&#21161;\&#38468;&#20214;6&#65306;&#65288;&#26449;&#22996;&#65289;&#36328;&#30465;&#20132;&#36890;&#34917;&#21161;&#33457;&#21517;&#20876;(&#21331;&#20041;&#27901;).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24050;&#23457;%20&#23528;&#27801;&#31532;&#20108;&#25209;%20&#38468;&#20214;6&#65306;&#40575;&#23528;&#21439;&#33073;&#36139;&#21171;&#21160;&#21147;&#36328;&#30465;&#23601;&#19994;&#19968;&#27425;&#24615;&#20132;&#36890;&#34917;&#21161;&#33457;&#21517;&#20876;.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2023&#24180;&#39547;&#26449;\3.&#36328;&#30465;&#23601;&#19994;&#20132;&#36890;&#34917;&#21161;\1.&#30003;&#35831;&#26448;&#26009;\&#31532;&#20108;&#25209;&#30003;&#35831;&#65288;5.15&#65289;\&#30005;&#23376;&#29256;&#26448;&#26009;\&#38468;&#20214;6&#65306;&#40575;&#23528;&#21439;&#21069;&#24448;&#24191;&#35199;&#21306;&#22806;&#21153;&#24037;&#30340;&#33073;&#36139;&#21171;&#21160;&#21147;&#19968;&#27425;&#24615;&#20132;&#36890;&#34917;&#21161;&#33457;&#21517;&#20876;&#65288;&#35203;&#20184;&#19975;&#65289;.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Users\Administrator\Desktop\&#36328;&#30465;&#20132;&#36890;&#34917;&#21161;&#26448;&#26009;\&#26448;&#26009;\&#65288;&#26753;&#21551;&#20255;&#12289;&#27743;&#20964;&#33714;&#12289;&#26753;&#23439;&#27494;&#12289;&#26753;&#23439;&#24658;&#65289;2024&#21153;&#24037;&#20132;&#36890;&#34917;&#21161;\&#38468;&#20214;6&#65306;&#40575;&#23528;&#21439;&#21069;&#24448;&#24191;&#35199;&#21306;&#22806;&#21153;&#24037;&#30340;&#33073;&#36139;&#21171;&#21160;&#21147;&#19968;&#27425;&#24615;&#20132;&#36890;&#34917;&#21161;&#33457;&#21517;&#20876;(3).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Users\Administrator\Desktop\&#36328;&#30465;&#20132;&#36890;&#34917;&#21161;&#26448;&#26009;\&#26448;&#26009;\&#26446;&#24378;2024&#24180;&#30003;&#35831;&#20132;&#36890;&#34917;&#21161;&#26448;&#26009;\&#26446;&#24378;2024&#24180;&#30003;&#35831;&#20132;&#36890;&#34917;&#21161;&#26448;&#26009;\&#38468;&#20214;6&#65306;&#40575;&#23528;&#21439;&#21069;&#24448;&#24191;&#35199;&#21306;&#22806;&#21153;&#24037;&#30340;&#33073;&#36139;&#21171;&#21160;&#21147;&#19968;&#27425;&#24615;&#24448;&#36820;&#20132;&#36890;&#34917;&#21161;&#33457;&#21517;&#20876;.xls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Users\Administrator\Desktop\&#36328;&#30465;&#20132;&#36890;&#34917;&#21161;&#26448;&#26009;\&#26448;&#26009;\7.29&#38886;&#25991;&#26827;&#12289;&#38886;&#20108;&#27611;%20&#36328;&#30465;&#23601;&#19994;&#19968;&#27425;&#24615;&#20132;&#36890;&#34917;&#21161;&#26448;&#26009;(1)\7.29&#38886;&#25991;&#26827;&#12289;&#38886;&#20108;&#27611;%20&#36328;&#30465;&#23601;&#19994;&#19968;&#27425;&#24615;&#20132;&#36890;&#34917;&#21161;&#26448;&#26009;\&#65288;&#38886;&#25991;&#26827;&#12289;&#38886;&#20108;&#27611;&#65289;&#38468;&#20214;6&#65306;&#40575;&#23528;&#21439;&#21069;&#24448;&#24191;&#35199;&#21306;&#22806;&#21153;&#24037;&#30340;&#33073;&#36139;&#21171;&#21160;&#21147;&#19968;&#27425;&#24615;&#20132;&#36890;&#34917;&#21161;&#33457;&#21517;&#20876;(3)(1).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Users\Administrator\Desktop\&#36328;&#30465;&#20132;&#36890;&#34917;&#21161;&#26448;&#26009;\&#26448;&#26009;\&#35203;&#25991;&#38745;&#22806;&#20986;&#21153;&#24037;&#20132;&#36890;&#34917;\&#35203;&#25991;&#38745;&#22806;&#20986;&#21153;&#24037;&#20132;&#36890;&#34917;\&#38468;&#20214;6&#65306;&#40575;&#23528;&#21439;&#21069;&#24448;&#24191;&#35199;&#21306;&#22806;&#21153;&#24037;&#30340;&#33073;&#36139;&#21171;&#21160;&#21147;&#19968;&#27425;&#24615;&#20132;&#36890;&#34917;&#21161;&#33457;&#21517;&#20876;.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Users\Administrator\Desktop\&#36328;&#30465;&#20132;&#36890;&#34917;&#21161;&#26448;&#26009;\&#26448;&#26009;\&#35203;&#20184;&#35299;2024&#24180;&#22806;&#20986;&#21153;&#24037;&#20132;&#36890;&#34917;&#36148;&#26448;&#26009;\&#35203;&#20184;&#35299;2024&#24180;&#22806;&#20986;&#21153;&#24037;&#20132;&#36890;&#34917;&#36148;&#26448;&#26009;\&#38468;&#20214;6&#65306;&#40575;&#23528;&#21439;&#21069;&#24448;&#24191;&#35199;&#21306;&#22806;&#21153;&#24037;&#30340;&#33073;&#36139;&#21171;&#21160;&#21147;&#19968;&#27425;&#24615;&#24448;&#36820;&#20132;&#36890;&#34917;&#21161;&#33457;&#21517;&#20876;.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Users\Administrator\Desktop\&#36328;&#30465;&#20132;&#36890;&#34917;&#21161;&#26448;&#26009;\&#26448;&#26009;\7.29&#27743;&#21335;&#26449;&#32435;&#22522;&#23663;&#35203;&#29233;&#33805;&#21153;&#24037;&#20132;&#36890;&#34917;&#26448;&#26009;\7.29&#27743;&#21335;&#26449;&#32435;&#22522;&#23663;&#35203;&#29233;&#33805;&#21153;&#24037;&#20132;&#36890;&#34917;&#26448;&#26009;\&#38468;&#20214;6&#65306;&#40575;&#23528;&#21439;&#21069;&#24448;&#24191;&#35199;&#21306;&#22806;&#21153;&#24037;&#30340;&#33073;&#36139;&#21171;&#21160;&#21147;&#19968;&#27425;&#24615;&#20132;&#36890;&#34917;&#21161;&#33457;&#21517;&#20876;.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Users\Administrator\Desktop\&#36328;&#30465;&#20132;&#36890;&#34917;&#21161;&#26448;&#26009;\&#26448;&#26009;\&#38470;&#31077;&#33909;&#36328;&#30465;&#26448;&#26009;\&#38468;&#20214;6&#65306;&#40575;&#23528;&#21439;&#33073;&#36139;&#21171;&#21160;&#21147;&#36328;&#30465;&#23601;&#19994;&#19968;&#27425;&#24615;&#20132;&#36890;&#34917;&#21161;&#33457;&#21517;&#20876;&#65288;&#38470;&#31077;&#33909;&#12289;&#29066;&#20848;&#35760;&#65289;.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Users\Administrator\Desktop\&#36328;&#30465;&#20132;&#36890;&#34917;&#21161;&#26448;&#26009;\&#26448;&#26009;\&#40654;&#23478;&#21220;&#25143;&#20132;&#36890;&#34917;&#21161;&#26448;&#26009;\&#65288;&#27743;&#21335;&#26449;&#31532;&#20845;&#25209;&#65289;&#38468;&#20214;6&#65306;&#40575;&#23528;&#21439;&#21069;&#24448;&#24191;&#35199;&#21306;&#22806;&#21153;&#24037;&#30340;&#33073;&#36139;&#21171;&#21160;&#21147;&#19968;&#27425;&#24615;&#20132;&#36890;&#34917;&#21161;&#33457;&#21517;&#20876;.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38468;&#20214;6&#65306;&#40575;&#23528;&#21439;&#21069;&#24448;&#24191;&#35199;&#21306;&#22806;&#21153;&#24037;&#30340;&#33073;&#36139;&#21171;&#21160;&#21147;&#19968;&#27425;&#24615;&#20132;&#36890;&#34917;&#21161;&#33457;&#21517;&#20876;.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Users\Administrator\Desktop\2024&#38470;&#21191;&#27491;&#21306;&#22806;&#20132;&#36890;&#34917;&#36148;\&#38468;&#20214;6&#65306;&#40575;&#23528;&#21439;&#21069;&#24448;&#24191;&#35199;&#21306;&#22806;&#21153;&#24037;&#30340;&#33073;&#36139;&#21171;&#21160;&#21147;&#19968;&#27425;&#24615;&#20132;&#36890;&#34917;&#21161;&#33457;&#21517;&#20876;.xlsx"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35203;&#26611;&#38468;&#20214;6&#65306;&#40575;&#23528;&#21439;&#33073;&#36139;&#21171;&#21160;&#21147;&#36328;&#30465;&#23601;&#19994;&#19968;&#27425;&#24615;&#20132;&#36890;&#34917;&#21161;&#33457;&#21517;&#20876;.xlsx"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Users\Administrator\Desktop\&#20848;&#32654;&#36830;2024&#24180;&#22806;&#20986;&#21153;&#24037;&#20132;&#36890;&#34917;&#36148;&#26448;&#26009;\&#20848;&#32654;&#36830;2024&#24180;&#22806;&#20986;&#21153;&#24037;&#20132;&#36890;&#34917;&#36148;&#26448;&#26009;\&#38468;&#20214;6&#65306;&#40575;&#23528;&#21439;&#21069;&#24448;&#24191;&#35199;&#21306;&#22806;&#21153;&#24037;&#30340;&#33073;&#36139;&#21171;&#21160;&#21147;&#19968;&#27425;&#24615;&#24448;&#36820;&#20132;&#36890;&#34917;&#21161;&#33457;&#21517;&#20876;.xlsx"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Users\Administrator\Desktop\2024&#24180;%20&#35885;&#26519;&#38745;&#22806;&#20986;&#21153;&#24037;&#20132;&#36890;&#34917;\2024&#24180;%20&#35885;&#26519;&#38745;&#22806;&#20986;&#21153;&#24037;&#20132;&#36890;&#34917;\&#38468;&#20214;6&#65306;&#40575;&#23528;&#21439;&#21069;&#24448;&#24191;&#35199;&#21306;&#22806;&#21153;&#24037;&#30340;&#33073;&#36139;&#21171;&#21160;&#21147;&#19968;&#27425;&#24615;&#20132;&#36890;&#34917;&#21161;&#33457;&#21517;&#20876;.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Users\Administrator\Desktop\&#65288;&#35203;&#20840;&#27494;&#65289;2024&#24180;&#20132;&#36890;&#34917;&#36148;\&#38468;&#20214;6&#65306;&#40575;&#23528;&#21439;&#21069;&#24448;&#24191;&#35199;&#21306;&#22806;&#21153;&#24037;&#30340;&#33073;&#36139;&#21171;&#21160;&#21147;&#19968;&#27425;&#24615;&#20132;&#36890;&#34917;&#21161;&#33457;&#21517;&#20876;.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Users\Administrator\Desktop\&#35203;&#23578;&#24179;2024&#24180;&#30003;&#35831;&#20132;&#36890;&#34917;&#21161;&#26448;&#26009;\&#35203;&#23578;&#24179;2024&#24180;&#30003;&#35831;&#20132;&#36890;&#34917;&#21161;&#26448;&#26009;\&#38468;&#20214;6&#65306;&#40575;&#23528;&#21439;&#21069;&#24448;&#24191;&#35199;&#21306;&#22806;&#21153;&#24037;&#30340;&#33073;&#36139;&#21171;&#21160;&#21147;&#19968;&#27425;&#24615;&#24448;&#36820;&#20132;&#36890;&#34917;&#21161;&#33457;&#21517;&#20876;.xlsx"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Users\Administrator\Desktop\&#24278;&#23578;&#22909;&#24278;&#23578;&#32418;&#20132;&#36890;&#34917;&#36148;%20(2024)\&#24278;&#23578;&#22909;&#24278;&#23578;&#32418;&#20132;&#36890;&#34917;&#36148;%20(2024)\&#38468;&#20214;6&#65306;&#24278;&#23578;&#22909;&#24278;&#23578;&#32418;&#40575;&#23528;&#21439;&#33073;&#36139;&#21171;&#21160;&#21147;&#36328;&#30465;&#23601;&#19994;&#19968;&#27425;&#24615;&#20132;&#36890;&#34917;&#21161;&#33457;&#21517;&#20876;.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Users\Administrator\Desktop\&#65288;&#35203;&#27946;&#26124;&#25143;&#29066;&#23551;&#35029;&#65289;&#36328;&#30465;&#23601;&#19994;&#19968;&#27425;&#24615;&#20132;&#36890;&#34917;&#21161;\&#65288;&#35203;&#27946;&#26124;&#25143;&#29066;&#23551;&#35029;&#65289;&#36328;&#30465;&#23601;&#19994;&#19968;&#27425;&#24615;&#20132;&#36890;&#34917;&#21161;\&#38468;&#20214;6&#65306;&#40575;&#23528;&#21439;&#21069;&#24448;&#24191;&#35199;&#21306;&#22806;&#21153;&#24037;&#30340;&#33073;&#36139;&#21171;&#21160;&#21147;&#19968;&#27425;&#24615;&#20132;&#36890;&#34917;&#21161;&#33457;&#21517;&#20876;.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Users\Administrator\Desktop\&#65288;&#40644;&#36745;&#26124;&#65289;2024&#24180;&#36328;&#30465;&#23601;&#19994;&#20132;&#36890;&#34917;&#36148;&#30003;&#35831;&#26448;&#26009;\&#65288;&#40644;&#36745;&#26124;&#65289;2024&#24180;&#19968;&#27425;&#24615;&#20132;&#36890;&#34917;&#21161;\&#65288;&#40644;&#36745;&#26124;&#65289;&#38468;&#20214;6&#65306;&#40575;&#23528;&#21439;&#21069;&#24448;&#24191;&#35199;&#21306;&#22806;&#21153;&#24037;&#30340;&#33073;&#36139;&#21171;&#21160;&#21147;&#19968;&#27425;&#24615;&#20132;&#36890;&#34917;&#21161;&#33457;&#21517;&#20876;.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Users\Administrator\Desktop\&#65288;&#40654;&#23500;&#65289;&#36328;&#30465;&#23601;&#19994;&#20132;&#36890;&#34917;&#36148;&#30003;&#35831;&#26448;&#26009;\&#65288;&#40654;&#23500;&#65289;&#36328;&#30465;&#23601;&#19994;&#20132;&#36890;&#34917;&#36148;&#30003;&#35831;&#26448;&#26009;\&#38468;&#20214;6&#65306;&#40575;&#23528;&#21439;&#33073;&#36139;&#21171;&#21160;&#21147;&#36328;&#30465;&#23601;&#19994;&#19968;&#27425;&#24615;&#20132;&#36890;&#34917;&#21161;&#33457;&#21517;&#20876;.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Users\Administrator\Desktop\&#35203;&#22269;&#19996;&#12289;&#32599;&#29233;&#36828;&#12289;&#35203;&#22269;&#39134;&#20132;&#36890;&#34917;&#36148;%20(2024)\&#35203;&#22269;&#19996;&#12289;&#32599;&#29233;&#36828;&#12289;&#35203;&#22269;&#39134;&#20132;&#36890;&#34917;&#36148;%20(2024)\24&#24180;&#22269;&#19996;&#20132;&#34917;\&#38468;&#20214;6&#65306;&#40575;&#23528;&#21439;&#21069;&#24448;&#24191;&#35199;&#21306;&#22806;&#21153;&#24037;&#30340;&#33073;&#36139;&#21171;&#21160;&#21147;&#19968;&#27425;&#24615;&#20132;&#36890;&#34917;&#21161;&#33457;&#21517;&#20876;1.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Users\Administrator\Desktop\&#35203;&#22269;&#19996;&#12289;&#32599;&#29233;&#36828;&#12289;&#35203;&#22269;&#39134;&#20132;&#36890;&#34917;&#36148;%20(2024)\&#35203;&#22269;&#19996;&#12289;&#32599;&#29233;&#36828;&#12289;&#35203;&#22269;&#39134;&#20132;&#36890;&#34917;&#36148;%20(2024)\24&#24180;&#22269;&#19996;&#20132;&#34917;\&#38468;&#20214;6&#65306;&#35203;&#22269;&#19996;&#12289;&#35203;&#22269;&#39134;&#12289;&#32599;&#29233;&#36828;&#21069;&#24448;&#24191;&#35199;&#21306;&#22806;&#21153;&#24037;&#30340;&#33073;&#36139;&#21171;&#21160;&#21147;&#19968;&#27425;&#24615;&#20132;&#36890;&#34917;&#21161;&#33457;&#21517;&#20876;.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Users\Administrator\Desktop\&#21016;&#21326;&#20029;%20%20&#36328;&#30465;&#23601;&#19994;&#20132;&#36890;&#34917;&#36148;&#30003;&#35831;&#26448;&#26009;\&#21016;&#21326;&#20029;%20%20&#36328;&#30465;&#23601;&#19994;&#20132;&#36890;&#34917;&#36148;&#30003;&#35831;&#26448;&#26009;\&#38468;&#20214;6&#65306;&#40575;&#23528;&#21439;&#33073;&#36139;&#21171;&#21160;&#21147;&#36328;&#30465;&#23601;&#19994;&#19968;&#27425;&#24615;&#20132;&#36890;&#34917;&#21161;&#33457;&#21517;&#20876;.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My%20Documents\WeChat%20Files\wxid_2f1n0238m5t412\FileStorage\File\2024-08\&#38468;&#20214;6&#65306;&#40575;&#23528;&#21439;&#33073;&#36139;&#21171;&#21160;&#21147;&#36328;&#30465;&#23601;&#19994;&#19968;&#27425;&#24615;&#20132;&#36890;&#34917;&#21161;&#33457;&#21517;&#20876;.xlsx"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My%20Documents\WeChat%20Files\wxid_2f1n0238m5t412\FileStorage\File\2024-07\&#38468;&#20214;6&#65306;&#40575;&#23528;&#21439;&#21069;&#24448;&#24191;&#35199;&#21306;&#22806;&#21153;&#24037;&#30340;&#33073;&#36139;&#21171;&#21160;&#21147;&#19968;&#27425;&#24615;&#20132;&#36890;&#34917;&#21161;&#33457;&#21517;&#20876;.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Users\Administrator\AppData\Local\Temp\360zip$Temp\360$10\&#38468;&#20214;6&#65306;&#40575;&#23528;&#21439;&#33073;&#36139;&#21171;&#21160;&#21147;&#36328;&#30465;&#23601;&#19994;&#19968;&#27425;&#24615;&#20132;&#36890;&#34917;&#21161;&#33457;&#21517;&#20876;.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My%20Documents\WeChat%20Files\wxid_2f1n0238m5t412\FileStorage\File\2024-08\&#38468;&#20214;6&#65306;&#40575;&#23528;&#21439;&#33073;&#36139;&#21171;&#21160;&#21147;&#36328;&#30465;&#23601;&#19994;&#19968;&#27425;&#24615;&#20132;&#36890;&#34917;&#21161;&#33457;&#21517;&#20876;(2).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My%20Documents\WeChat%20Files\wxid_2f1n0238m5t412\FileStorage\File\2024-08\&#21346;&#26124;&#27665;+&#26753;&#26377;&#25165;&#38468;&#20214;6&#65306;&#40575;&#23528;&#21439;&#33073;&#36139;&#21171;&#21160;&#21147;&#36328;&#30465;&#23601;&#19994;&#19968;&#27425;&#24615;&#20132;&#36890;&#34917;&#21161;&#33457;&#21517;&#20876;.xlsx"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Users\Administrator\AppData\Local\Temp\360zip$Temp\360$1\&#65288;&#37027;&#24403;&#26449;&#65289;&#65306;&#40575;&#23528;&#21439;&#21069;&#24448;&#24191;&#35199;&#21306;&#22806;&#21153;&#24037;&#30340;&#33073;&#36139;&#21171;&#21160;&#21147;&#19968;&#27425;&#24615;&#20132;&#36890;&#34917;&#21161;&#33457;&#21517;&#20876;(1).xlsx"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Users\Administrator\AppData\Local\Temp\360zip$Temp\360$0\&#65288;&#20013;&#24179;&#26449;&#65289;&#38468;&#20214;6&#65306;&#40575;&#23528;&#21439;&#33073;&#36139;&#21171;&#21160;&#21147;&#36328;&#30465;&#23601;&#19994;&#19968;&#27425;&#24615;&#20132;&#36890;&#34917;&#21161;&#33457;&#21517;&#20876;.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Users\Administrator\AppData\Local\Temp\HZ$D.627.2144\HZ$D.627.2145\&#38468;&#20214;6&#65306;&#40575;&#23528;&#21439;&#33073;&#36139;&#21171;&#21160;&#21147;&#36328;&#30465;&#23601;&#19994;&#19968;&#27425;&#24615;&#20132;&#36890;&#34917;&#21161;&#33457;&#21517;&#20876;.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Users\Administrator\AppData\Local\Temp\HZ$D.627.2146\HZ$D.627.2147\&#20132;&#36890;&#34917;&#36148;\&#38468;&#20214;6&#65306;&#40575;&#23528;&#21439;&#21069;&#24448;&#24191;&#35199;&#21306;&#22806;&#21153;&#24037;&#30340;&#33073;&#36139;&#21171;&#21160;&#21147;&#19968;&#27425;&#24615;&#24448;&#36820;&#20132;&#36890;&#34917;&#21161;&#33457;&#21517;&#20876;&#65288;&#35203;&#20811;&#33459;&#12289;&#24278;&#29790;&#26124;&#65289;.xlsx"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Users\Administrator\AppData\Local\Temp\HZ$D.140.162\HZ$D.140.163\&#38047;&#23569;&#38596;&#25143;&#29579;&#20975;&#23068;.&#40575;&#23528;&#21439;&#33073;&#36139;&#21171;&#21160;&#21147;&#19968;&#27425;&#24615;&#20132;&#36890;&#34917;&#21161;&#30003;&#35831;\&#38468;&#20214;6&#65306;&#19968;&#27425;&#24615;&#24448;&#36820;&#20132;&#36890;&#34917;&#21161;&#33457;&#21517;&#20876;.xlsx"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Users\Administrator\AppData\Local\Temp\HZ$D.404.3259\HZ$D.404.3260\&#38472;&#32418;&#24378;&#25143;&#38472;&#20908;&#21916;.&#40575;&#23528;&#21439;&#33073;&#36139;&#21171;&#21160;&#21147;&#19968;&#27425;&#24615;&#20132;&#36890;&#34917;&#21161;&#30003;&#35831;\&#38468;&#20214;6&#65306;&#40575;&#23528;&#21439;&#21069;&#24448;&#24191;&#35199;&#21306;&#22806;&#21153;&#24037;&#30340;&#33073;&#36139;&#21171;&#21160;&#21147;&#19968;&#27425;&#24615;&#24448;&#36820;&#20132;&#36890;&#34917;&#21161;&#33457;&#21517;&#20876;.xlsx"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Users\Administrator\AppData\Local\Temp\HZ$D.230.3198\HZ$D.230.3199\&#65288;&#38472;&#25991;&#21326;&#65289;&#8212;&#8212;&#38468;&#20214;6&#65306;&#40575;&#23528;&#21439;&#33073;&#36139;&#21171;&#21160;&#21147;&#36328;&#30465;&#23601;&#19994;&#19968;&#27425;&#24615;&#20132;&#36890;&#34917;&#21161;&#33457;&#21517;&#20876;.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65288;&#31532;&#20108;&#25209;&#25910;&#38598;&#65289;&#38468;&#20214;6&#65306;&#40575;&#23528;&#21439;&#33073;&#36139;&#21171;&#21160;&#21147;&#36328;&#30465;&#23601;&#19994;&#19968;&#27425;&#24615;&#20132;&#36890;&#34917;&#21161;&#33457;&#21517;&#20876;.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21346;&#38639;&#38639;&#12289;&#21346;&#24178;&#24544;&#25143;)&#40575;&#23528;&#21439;&#21069;&#24448;&#24191;&#35199;&#21306;&#22806;&#21153;&#24037;&#30340;&#33073;&#36139;&#21171;&#21160;&#21147;&#19968;&#27425;&#24615;&#20132;&#36890;&#34917;&#21161;&#26448;&#26009;\&#38468;&#20214;6&#65306;&#65288;&#21346;&#38639;&#38639;&#65289;&#40575;&#23528;&#21439;&#21069;&#24448;&#24191;&#35199;&#21306;&#22806;&#21153;&#24037;&#30340;&#33073;&#36139;&#21171;&#21160;&#21147;&#19968;&#27425;&#24615;&#20132;&#36890;&#34917;&#21161;&#33457;&#21517;&#20876;.xlsx"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6328;&#30465;&#20132;&#36890;&#34917;&#21161;\&#36213;&#20521;&#20132;&#36890;&#34917;&#36148;\&#65288;&#36213;&#20521;&#65289;&#38468;&#20214;6&#65306;&#40575;&#23528;&#21439;&#33073;&#36139;&#21171;&#21160;&#21147;&#36328;&#30465;&#23601;&#19994;&#19968;&#27425;&#24615;&#20132;&#36890;&#34917;&#21161;&#33457;&#21517;&#20876;.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E:\&#24494;&#20449;&#35760;&#24405;\WeChat%20Files\wxid_3194341944512\FileStorage\File\2024-08\&#38468;&#20214;6&#65306;&#40575;&#23528;&#21439;&#33073;&#36139;&#21171;&#21160;&#21147;&#36328;&#30465;&#23601;&#19994;&#19968;&#27425;&#24615;&#20132;&#36890;&#34917;&#21161;&#33457;&#21517;&#20876;.xlsx"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E:\&#24494;&#20449;&#35760;&#24405;\WeChat%20Files\wxid_3194341944512\FileStorage\File\2024-08\&#38468;&#20214;6&#65306;&#40575;&#23528;&#21439;&#33073;&#36139;&#21171;&#21160;&#21147;&#36328;&#30465;&#23601;&#19994;&#19968;&#27425;&#24615;&#20132;&#36890;&#34917;&#21161;&#33457;&#21517;&#20876;(1).xlsx"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E:\&#24494;&#20449;&#35760;&#24405;\WeChat%20Files\wxid_3194341944512\FileStorage\File\2024-08\&#38468;&#20214;6&#65306;&#40575;&#23528;&#21439;&#33073;&#36139;&#21171;&#21160;&#21147;&#36328;&#30465;&#23601;&#19994;&#19968;&#27425;&#24615;&#20132;&#36890;&#34917;&#21161;&#33457;&#21517;&#20876;(1)(1).xlsx"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6328;&#30465;&#20132;&#36890;&#34917;&#21161;\&#65288;&#24278;&#33395;&#33805;&#65289;2024&#24180;&#21306;&#22806;&#21153;&#24037;&#20132;&#36890;&#34917;&#36148;\&#65288;&#24278;&#33395;&#33805;&#65289;&#38468;&#20214;6&#65306;&#40575;&#23528;&#21439;&#21069;&#24448;&#24191;&#35199;&#21306;&#22806;&#21153;&#24037;&#30340;&#33073;&#36139;&#21171;&#21160;&#21147;&#19968;&#27425;&#24615;&#20132;&#36890;&#34917;&#21161;&#33457;&#21517;&#20876;.xlsx"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6328;&#30465;&#20132;&#36890;&#34917;&#21161;\&#21556;&#27836;&#28478;&#30003;&#35831;&#22806;&#20986;&#21153;&#24037;&#34917;&#21161;\&#38468;&#20214;6&#65306;&#40575;&#23528;&#21439;&#21069;&#24448;&#24191;&#35199;&#21306;&#22806;&#21153;&#24037;&#30340;&#33073;&#36139;&#21171;&#21160;&#21147;&#19968;&#27425;&#24615;&#20132;&#36890;&#34917;&#21161;&#33457;&#21517;&#20876;.xlsx"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6328;&#30465;&#20132;&#36890;&#34917;&#21161;\&#28504;&#26564;&#25991;&#30003;&#35831;&#22806;&#20986;&#21153;&#24037;&#34917;&#21161;\&#38468;&#20214;6&#65306;&#40575;&#23528;&#21439;&#21069;&#24448;&#24191;&#35199;&#21306;&#22806;&#21153;&#24037;&#30340;&#33073;&#36139;&#21171;&#21160;&#21147;&#19968;&#27425;&#24615;&#20132;&#36890;&#34917;&#21161;&#33457;&#21517;&#20876;.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Users\Administrator\AppData\Local\Temp\360zip$Temp\360$0\&#65288;&#27700;&#22836;&#26449;&#65289;&#38468;&#20214;6&#65306;&#40575;&#23528;&#21439;&#33073;&#36139;&#21171;&#21160;&#21147;&#36328;&#30465;&#23601;&#19994;&#19968;&#27425;&#24615;&#20132;&#36890;&#34917;&#21161;&#33457;&#21517;&#20876;.xlsx"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27700;&#22836;&#26449;&#38468;&#20214;6&#65306;&#40575;&#23528;&#21439;&#33073;&#36139;&#21171;&#21160;&#21147;&#36328;&#30465;&#23601;&#19994;&#19968;&#27425;&#24615;&#20132;&#36890;&#34917;&#21161;&#33457;&#21517;&#20876;(1).xlsx"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25105;&#30340;&#25991;&#26723;\Documents\WeChat%20Files\wxid_pbnn93lec09422\FileStorage\File\2023-05\&#65288;&#27700;&#22836;&#26449;&#65289;&#38468;&#20214;6&#65306;&#40575;&#23528;&#21439;&#21069;&#24448;&#24191;&#35199;&#21306;&#22806;&#21153;&#24037;&#30340;&#33073;&#36139;&#21171;&#21160;&#21147;&#19968;&#27425;&#24615;&#20132;&#36890;&#34917;&#21161;&#33457;&#21517;&#20876;.xlsx"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6328;&#30465;&#20132;&#36890;&#34917;&#21161;\&#28504;&#33635;&#20961;&#20132;&#36890;&#34917;&#36148;\5.&#65288;&#28504;&#33635;&#20961;&#65289;&#38468;&#20214;6&#65306;&#40575;&#23528;&#21439;&#33073;&#36139;&#21171;&#21160;&#21147;&#36328;&#30465;&#23601;&#19994;&#19968;&#27425;&#24615;&#20132;&#36890;&#34917;&#21161;&#33457;&#21517;&#20876;.xlsx"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E:\&#24494;&#20449;&#35760;&#24405;\WeChat%20Files\wxid_3194341944512\FileStorage\File\2024-08\&#38468;&#20214;6&#65306;&#40575;&#23528;&#21439;&#33073;&#36139;&#21171;&#21160;&#21147;&#36328;&#30465;&#23601;&#19994;&#19968;&#27425;&#24615;&#20132;&#36890;&#34917;&#21161;&#33457;&#21517;&#20876;(1)(2).xlsx"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Users\Administrator\AppData\Local\Temp\360zip$Temp\360$0\5.&#65288;&#28504;&#31168;&#21326;&#65289;&#38468;&#20214;6&#65306;&#40575;&#23528;&#21439;&#33073;&#36139;&#21171;&#21160;&#21147;&#36328;&#30465;&#23601;&#19994;&#19968;&#27425;&#24615;&#20132;&#36890;&#34917;&#21161;&#33457;&#21517;&#20876;.xlsx"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Users\Administrator\AppData\Local\Temp\360zip$Temp\360$0\&#65288;&#20197;&#27492;&#20026;&#20934;&#21346;&#20041;&#26149;&#12289;&#38886;&#32768;&#23500;&#12289;&#33931;&#20029;&#24179;&#12289;&#38886;&#32768;&#36149;&#65289;&#38468;&#20214;6&#65306;&#40575;&#23528;&#21439;&#21069;&#24448;&#24191;&#35199;&#21306;&#22806;&#21153;&#24037;&#30340;&#33073;&#36139;&#21171;&#21160;&#21147;&#19968;&#27425;&#24615;&#20132;&#36890;&#34917;&#21161;&#33457;&#21517;&#20876;&#65288;2024.08.08&#65289;.xlsx"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6328;&#30465;&#20132;&#36890;&#34917;&#21161;\&#21346;&#23578;&#33538;&#20132;&#36890;&#34917;\&#38468;&#20214;6&#65306;&#40575;&#23528;&#21439;&#33073;&#36139;&#21171;&#21160;&#21147;&#36328;&#30465;&#23601;&#19994;&#19968;&#27425;&#24615;&#20132;&#36890;&#34917;&#21161;&#33457;&#21517;&#20876;&#65288;&#21346;&#23578;&#33538;&#65289;.xlsx"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4d954388bdd567e671c329490828222d_ad325d7db50115b520aeb42269b7a735_8.xlsx"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2024&#24180;&#20065;&#26449;&#25391;&#20852;\&#21153;&#24037;&#20132;&#36890;&#34917;&#21161;&#26448;&#26009;\&#19977;&#25490;&#26449;2024&#24180;&#30003;&#25253;&#24773;&#20917;\&#65288;&#19977;&#25490;&#38886;&#26641;&#21326;&#65289;2024&#24180;&#30003;&#35831;&#20132;&#36890;&#34917;&#21161;&#26448;&#26009;\&#65288;&#19977;&#25490;&#38886;&#26641;&#21326;&#65289;2024&#24180;&#30003;&#35831;&#20132;&#36890;&#34917;&#21161;&#26448;&#26009;\&#65288;&#19977;&#25490;&#38886;&#26641;&#21326;&#65289;&#38468;&#20214;6&#65306;&#40575;&#23528;&#21439;&#21069;&#24448;&#24191;&#35199;&#21306;&#22806;&#21153;&#24037;&#30340;&#33073;&#36139;&#21171;&#21160;&#21147;&#19968;&#27425;&#24615;&#24448;&#36820;&#20132;&#36890;&#34917;&#21161;&#33457;&#21517;&#20876;.xlsx"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2024&#24180;&#20065;&#26449;&#25391;&#20852;\&#21153;&#24037;&#20132;&#36890;&#34917;&#21161;&#26448;&#26009;\&#19977;&#25490;&#26449;2024&#24180;&#30003;&#25253;&#24773;&#20917;\&#65288;&#21556;&#22823;&#20840;&#12289;&#21556;&#22823;&#21452;&#12289;&#38886;&#31062;&#27743;&#12289;&#21608;&#20029;&#33529;&#65289;&#30003;&#35831;&#21306;&#22806;&#21153;&#24037;&#20132;&#36890;&#34917;&#36148;\&#38468;&#20214;6&#65306;&#21556;&#22823;&#20840;&#12289;&#21556;&#22823;&#21452;&#12289;&#38886;&#31062;&#27743;&#12289;&#21608;&#20029;&#33529;%20&#40575;&#23528;&#21439;&#21069;&#24448;&#24191;&#35199;&#21306;&#22806;&#21153;&#24037;&#30340;&#33073;&#36139;&#21171;&#21160;&#21147;&#19968;&#27425;&#24615;&#20132;&#36890;&#34917;&#21161;&#33457;&#21517;&#20876;.xlsx"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2024&#24180;&#20065;&#26449;&#25391;&#20852;\&#21153;&#24037;&#20132;&#36890;&#34917;&#21161;&#26448;&#26009;\&#19977;&#25490;&#26449;2024&#24180;&#30003;&#25253;&#24773;&#20917;\&#38886;&#24503;&#40857;&#36710;&#34917;\&#38886;&#24503;&#40857;&#36710;&#34917;\&#38468;&#20214;6&#65306;&#40575;&#23528;&#21439;&#21069;&#24448;&#24191;&#35199;&#21306;&#22806;&#21153;&#24037;&#30340;&#33073;&#36139;&#21171;&#21160;&#21147;&#19968;&#27425;&#24615;&#20132;&#36890;&#34917;&#21161;&#33457;&#21517;&#20876;.xlsx"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2024&#24180;&#20065;&#26449;&#25391;&#20852;\&#21153;&#24037;&#20132;&#36890;&#34917;&#21161;&#26448;&#26009;\&#19977;&#25490;&#26449;2024&#24180;&#30003;&#25253;&#24773;&#20917;\&#38886;&#26126;&#39321;2024&#24180;&#36328;&#30465;&#21153;&#24037;&#20132;&#36890;&#34917;&#36148;&#26448;&#26009;\&#38886;&#26126;&#39321;2024&#24180;&#36328;&#30465;&#21153;&#24037;&#20132;&#36890;&#34917;&#36148;&#26448;&#26009;\&#38468;&#20214;6&#65306;&#40575;&#23528;&#21439;&#33073;&#36139;&#21171;&#21160;&#21147;&#36328;&#30465;&#23601;&#19994;&#19968;&#27425;&#24615;&#20132;&#36890;&#34917;&#21161;&#33457;&#21517;&#20876;.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2024&#24180;&#20065;&#26449;&#25391;&#20852;\&#21153;&#24037;&#20132;&#36890;&#34917;&#21161;&#26448;&#26009;\&#19977;&#25490;&#26449;2024&#24180;&#30003;&#25253;&#24773;&#20917;\&#38886;&#38738;&#19994;&#25143;-&#38886;&#28023;&#20964;&#12289;&#24278;&#25253;&#36229;2024&#24180;&#33073;&#36139;&#21171;&#21160;&#21147;&#36328;&#30465;&#23601;&#19994;&#19968;&#27425;&#24615;&#20132;&#36890;&#34917;&#21161;&#30003;&#35831;&#26448;&#26009;\&#38886;&#38738;&#19994;&#25143;-&#38886;&#28023;&#20964;&#12289;&#24278;&#25253;&#36229;2024&#24180;&#33073;&#36139;&#21171;&#21160;&#21147;&#36328;&#30465;&#23601;&#19994;&#19968;&#27425;&#24615;&#20132;&#36890;&#34917;&#21161;&#30003;&#35831;&#26448;&#26009;\&#38468;&#20214;6&#65306;&#40575;&#23528;&#21439;&#33073;&#36139;&#21171;&#21160;&#21147;&#36328;&#30465;&#23601;&#19994;&#19968;&#27425;&#24615;&#20132;&#36890;&#34917;&#21161;&#33457;&#21517;&#20876;&#65288;&#38886;&#28023;&#20964;&#12289;&#24278;&#25253;&#36229;&#65289;.xlsx"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2024&#24180;&#20065;&#26449;&#25391;&#20852;\&#21153;&#24037;&#20132;&#36890;&#34917;&#21161;&#26448;&#26009;\&#19977;&#25490;&#26449;2024&#24180;&#30003;&#25253;&#24773;&#20917;\&#38886;&#33395;&#33805;2024&#24180;&#20132;&#36890;&#34917;&#36148;&#26448;&#26009;\&#38886;&#33395;&#33805;2024&#24180;&#20132;&#36890;&#34917;&#36148;&#26448;&#26009;\&#38468;&#20214;6&#65306;&#38886;&#33395;&#33805;%20&#40575;&#23528;&#21439;&#21069;&#24448;&#24191;&#35199;&#21306;&#22806;&#21153;&#24037;&#30340;&#33073;&#36139;&#21171;&#21160;&#21147;&#19968;&#27425;&#24615;&#20132;&#36890;&#34917;&#21161;&#33457;&#21517;&#20876;.xlsx"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Users\Administrator\AppData\Local\Temp\360zip$Temp\360$1\&#65288;&#38886;&#29788;&#12289;&#38886;&#29233;&#20848;&#65289;&#38468;&#20214;6&#65306;&#40575;&#23528;&#21439;&#33073;&#36139;&#21171;&#21160;&#21147;&#36328;&#30465;&#23601;&#19994;&#19968;&#27425;&#24615;&#20132;&#36890;&#34917;&#21161;&#33457;&#21517;&#20876;.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Users\Administrator\AppData\Local\Temp\360zip$Temp\360$0\&#65288;&#38886;&#20581;&#24179;&#12289;&#38886;&#28023;&#31179;&#65289;&#38468;&#20214;6&#65306;&#40575;&#23528;&#21439;&#21069;&#24448;&#24191;&#35199;&#21306;&#22806;&#21153;&#24037;&#30340;&#33073;&#36139;&#21171;&#21160;&#21147;&#19968;&#27425;&#24615;&#20132;&#36890;&#34917;&#21161;&#33457;&#21517;&#20876;.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25206;&#36139;\2022&#24180;\&#38886;&#29141;&#26032;\&#38886;&#21517;&#39640;&#20132;&#36890;&#34917;&#21161;&#30003;&#35831;&#26448;&#26009;\&#65288;&#38886;&#21517;&#39640;&#65289;&#38468;&#20214;6&#65306;&#40575;&#23528;&#21439;&#21069;&#24448;&#24191;&#35199;&#21306;&#22806;&#21153;&#24037;&#30340;&#33073;&#36139;&#21171;&#21160;&#21147;&#19968;&#27425;&#24615;&#24448;&#36820;&#20132;&#36890;&#34917;&#21161;&#33457;&#21517;&#20876;.xlsx"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Users\Administrator\AppData\Local\Temp\360zip$Temp\360$1\&#65288;&#19977;&#25490;&#38886;&#32654;&#32418;&#65289;&#38468;&#20214;6&#65306;&#40575;&#23528;&#21439;&#21069;&#24448;&#24191;&#35199;&#21306;&#22806;&#21153;&#24037;&#30340;&#33073;&#36139;&#21171;&#21160;&#21147;&#19968;&#27425;&#24615;&#24448;&#36820;&#20132;&#36890;&#34917;&#21161;&#33457;&#21517;&#20876;.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25105;&#30340;&#25991;&#26723;\Documents\WeChat%20Files\wxid_c2rue4y5iwon22\FileStorage\File\2024-08\&#38468;&#20214;6&#65306;&#40575;&#23528;&#21439;&#21069;&#24448;&#24191;&#35199;&#21306;&#22806;&#21153;&#24037;&#30340;&#33073;&#36139;&#21171;&#21160;&#21147;&#19968;&#27425;&#24615;&#20132;&#36890;&#34917;&#21161;&#33457;&#21517;&#20876;.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38468;&#20214;6&#65306;&#65288;&#19977;&#25490;&#26449;&#65289;&#40575;&#23528;&#21439;&#21069;&#24448;&#24191;&#35199;&#21306;&#22806;&#21153;&#24037;&#30340;&#33073;&#36139;&#21171;&#21160;&#21147;&#19968;&#27425;&#24615;&#24448;&#36820;&#20132;&#36890;&#34917;&#21161;&#33457;&#21517;&#20876;(1).xlsx"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24494;&#20449;\WeChat%20Files\wxid_b1v28sxwvx0w11\FileStorage\File\2024-08\&#32599;&#29748;&#65289;&#38468;&#20214;6&#65306;&#40575;&#23528;&#21439;&#33073;&#36139;&#21171;&#21160;&#21147;&#36328;&#30465;&#23601;&#19994;&#19968;&#27425;&#24615;&#20132;&#36890;&#34917;&#21161;&#33457;&#21517;&#20876;.xlsx"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24494;&#20449;\WeChat%20Files\wxid_b1v28sxwvx0w11\FileStorage\File\2024-08\&#38468;&#20214;6&#65306;&#65288;&#32599;&#23450;&#22269;&#12289;&#32599;&#23450;&#21916;&#12289;&#32599;&#23500;&#65289;&#40575;&#23528;&#21439;&#33073;&#36139;&#21171;&#21160;&#21147;&#36328;&#30465;&#23601;&#19994;&#19968;&#27425;&#24615;&#20132;&#36890;&#34917;&#21161;&#33457;&#21517;&#20876;(1)(4).xlsx"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24494;&#20449;\WeChat%20Files\wxid_b1v28sxwvx0w11\FileStorage\File\2024-08\&#65288;&#26753;&#20961;&#22372;&#12289;&#26753;&#20961;&#26435;&#65289;&#38468;&#20214;6&#65306;&#40575;&#23528;&#21439;&#33073;&#36139;&#21171;&#21160;&#21147;&#36328;&#30465;&#23601;&#19994;&#19968;&#27425;&#24615;&#20132;&#36890;&#34917;&#21161;&#33457;&#21517;&#20876;.xlsx"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24494;&#20449;&#25991;&#20214;&#19979;&#36733;\WeChat%20Files\wxid_1193481934612\FileStorage\File\2024-07\&#38468;&#20214;6&#65306;&#40575;&#23528;&#21439;&#33073;&#36139;&#21171;&#21160;&#21147;&#36328;&#30465;&#23601;&#19994;&#19968;&#27425;&#24615;&#20132;&#36890;&#34917;&#21161;&#33457;&#21517;&#20876;&#24278;&#26790;&#20070;.xlsx"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Users\ADMINI~1\AppData\Local\Temp\7zO8015BE5B\&#38468;&#20214;6&#65306;&#40575;&#23528;&#21439;&#33073;&#36139;&#21171;&#21160;&#21147;&#36328;&#30465;&#23601;&#19994;&#19968;&#27425;&#24615;&#20132;&#36890;&#34917;&#21161;&#33457;&#21517;&#20876;.xlsx"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65288;&#26032;&#24198;&#26449;&#65289;&#38468;&#20214;6&#65306;&#40575;&#23528;&#21439;&#33073;&#36139;&#21171;&#21160;&#21147;&#36328;&#30465;&#23601;&#19994;&#19968;&#27425;&#24615;&#20132;&#36890;&#34917;&#21161;&#33457;&#21517;&#20876;(1)(3)(1)(1).xlsx"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Documents\WeChat%20Files\wwc13176328\FileStorage\File\2024-08\&#38468;&#20214;6&#65306;&#40575;&#23528;&#21439;&#21069;&#24448;&#24191;&#35199;&#21306;&#22806;&#21153;&#24037;&#30340;&#33073;&#36139;&#21171;&#21160;&#21147;&#19968;&#27425;&#24615;&#20132;&#36890;&#34917;&#21161;&#33457;&#21517;&#20876;%20-%20&#38886;&#20202;&#23665;&#12289;&#38886;&#26397;&#25991;&#65288;&#25442;&#21345;&#65289;.xlsx"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Documents\WeChat%20Files\wwc13176328\FileStorage\File\2024-08\&#38468;&#20214;6&#65306;&#40575;&#23528;&#21439;&#33073;&#36139;&#21171;&#21160;&#21147;&#36328;&#30465;&#23601;&#19994;&#19968;&#27425;&#24615;&#20132;&#36890;&#34917;&#21161;&#33457;&#21517;&#20876;(4).xlsx"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Documents\WeChat%20Files\wwc13176328\FileStorage\File\2024-08\&#38468;&#20214;6&#65306;&#40575;&#23528;&#21439;&#33073;&#36139;&#21171;&#21160;&#21147;&#36328;&#30465;&#23601;&#19994;&#19968;&#27425;&#24615;&#20132;&#36890;&#34917;&#21161;&#33457;&#21517;&#20876;(5).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Documents\WeChat%20Files\wwc13176328\FileStorage\File\2024-08\&#65288;&#38886;&#36830;&#20964;&#65289;&#38468;&#20214;6&#65306;&#40575;&#23528;&#21439;&#33073;&#36139;&#21171;&#21160;&#21147;&#36328;&#30465;&#23601;&#19994;&#19968;&#27425;&#24615;&#20132;&#36890;&#34917;&#21161;&#33457;&#21517;&#20876;.xlsx"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Documents\WeChat%20Files\wwc13176328\FileStorage\File\2024-08\&#65288;&#28201;&#32654;&#29618;&#65289;&#38468;&#20214;6&#65306;&#40575;&#23528;&#21439;&#33073;&#36139;&#21171;&#21160;&#21147;&#36328;&#30465;&#23601;&#19994;&#19968;&#27425;&#24615;&#20132;&#36890;&#34917;&#21161;&#33457;&#21517;&#20876;.xlsx"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Documents\WeChat%20Files\wwc13176328\FileStorage\File\2024-08\&#38468;&#20214;6&#65306;&#40575;&#23528;&#21439;&#33073;&#36139;&#21171;&#21160;&#21147;&#36328;&#30465;&#23601;&#19994;&#19968;&#27425;&#24615;&#20132;&#36890;&#34917;&#21161;&#33457;&#21517;&#20876;(1)(2).xlsx"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Documents\WeChat%20Files\wwc13176328\FileStorage\File\2024-08\&#38468;&#20214;6&#65306;&#40575;&#23528;&#21439;&#33073;&#36139;&#21171;&#21160;&#21147;&#36328;&#30465;&#23601;&#19994;&#19968;&#27425;&#24615;&#20132;&#36890;&#34917;&#21161;&#33457;&#21517;&#20876;(6).xlsx"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Documents\WeChat%20Files\wwc13176328\FileStorage\File\2024-08\&#38468;&#20214;6&#65306;&#40575;&#23528;&#21439;&#33073;&#36139;&#21171;&#21160;&#21147;&#36328;&#30465;&#23601;&#19994;&#19968;&#27425;&#24615;&#20132;&#36890;&#34917;&#21161;&#33457;&#21517;&#20876;(1)(3).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Users\Administrator\Documents\WeChat%20Files\hcm0385\FileStorage\File\2024-08\&#38468;&#20214;6&#65306;&#40575;&#23528;&#21439;&#33073;&#36139;&#21171;&#21160;&#21147;&#36328;&#30465;&#23601;&#19994;&#19968;&#27425;&#24615;&#20132;&#36890;&#34917;&#21161;&#33457;&#21517;&#20876;(1).xlsx"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38468;&#20214;6&#65306;&#40575;&#23528;&#21439;&#33073;&#36139;&#21171;&#21160;&#21147;&#36328;&#30465;&#23601;&#19994;&#19968;&#27425;&#24615;&#20132;&#36890;&#34917;&#21161;&#33457;&#21517;&#20876;2024.08.15.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2023&#24180;&#21644;&#26408;&#26449;&#38450;&#36139;&#24037;&#20316;\&#21644;&#26408;&#26449;&#33073;&#36139;&#20154;&#21475;&#22806;&#20986;&#21153;&#24037;&#20132;&#36890;&#34917;&#21161;&#26448;&#26009;&#65288;&#25253;&#24278;&#26690;&#33298;&#65289;\2024&#24180;&#20132;&#36890;&#34917;&#36148;\&#31532;&#20108;&#25209;\&#24110;&#25206;&#24178;&#37096;\2.&#38472;&#21892;&#31283;\&#38468;&#20214;6&#65306;&#40575;&#23528;&#21439;&#21069;&#24448;&#24191;&#35199;&#21306;&#22806;&#21153;&#24037;&#30340;&#33073;&#36139;&#21171;&#21160;&#21147;&#19968;&#27425;&#24615;&#20132;&#36890;&#34917;&#21161;&#33457;&#21517;&#20876;.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24037;&#20316;\&#25206;&#36139;\2023&#24180;&#25206;&#36139;\&#20851;&#20110;&#20570;&#22909;&#33073;&#36139;&#21171;&#21160;&#21147;&#36328;&#30465;&#23601;&#19994;&#19968;&#27425;&#24615;&#20132;&#36890;&#34917;&#21161;&#24037;&#20316;&#30340;&#36890;&#30693;(1)\&#38886;&#37329;&#26451;&#25143;3&#20154;&#20132;&#36890;&#34917;&#21161;&#30003;&#35831;&#26448;&#26009;2023\&#38886;&#37329;&#26451;&#25143;-&#38468;&#20214;6&#65306;&#40575;&#23528;&#21439;&#21069;&#24448;&#24191;&#35199;&#21306;&#22806;&#21153;&#24037;&#30340;&#33073;&#36139;&#21171;&#21160;&#21147;&#19968;&#27425;&#24615;&#20132;&#36890;&#34917;&#21161;&#33457;&#21517;&#20876;2023.xlsx"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Users\Administrator\Desktop\&#35203;&#31119;&#23551;%20&#26753;&#20025;&#20964;&#22806;&#20986;&#21153;&#24037;&#20132;&#36890;&#34917;&#36148;&#26448;&#26009;\&#35203;&#31119;&#23551;%20&#26753;&#20025;&#20964;&#38468;&#20214;6&#65306;&#40575;&#23528;&#21439;&#33073;&#36139;&#21171;&#21160;&#21147;&#36328;&#30465;&#23601;&#19994;&#19968;&#27425;&#24615;&#20132;&#36890;&#34917;&#21161;&#33457;&#21517;&#20876;.xlsx"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Users\Administrator\Desktop\&#65288;&#40654;&#26085;&#20964;&#65289;2024&#24180;&#36328;&#30465;&#23601;&#19994;&#20132;&#36890;&#34917;&#36148;&#30003;&#35831;&#26448;&#26009;\&#65288;&#40654;&#26085;&#20964;&#65289;2024&#24180;&#36328;&#30465;&#23601;&#19994;&#20132;&#36890;&#34917;&#36148;&#30003;&#35831;&#26448;&#26009;\&#65288;&#40654;&#26085;&#20964;&#65289;&#38468;&#20214;6&#65306;&#40575;&#23528;&#21439;&#21069;&#24448;&#24191;&#35199;&#21306;&#22806;&#21153;&#24037;&#30340;&#33073;&#36139;&#21171;&#21160;&#21147;&#19968;&#27425;&#24615;&#20132;&#36890;&#34917;&#21161;&#33457;&#21517;&#20876;.xlsx"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Users\Administrator\Desktop\&#65288;&#35203;&#26126;&#65289;2024&#24180;&#36328;&#30465;&#23601;&#19994;&#20132;&#36890;&#34917;&#36148;&#30003;&#35831;&#26448;&#26009;\&#65288;&#35203;&#26126;&#65289;2024&#24180;&#36328;&#30465;&#23601;&#19994;&#20132;&#36890;&#34917;&#36148;&#30003;&#35831;&#26448;&#26009;\&#65288;&#35203;&#26126;&#65289;&#38468;&#20214;6&#65306;&#40575;&#23528;&#21439;&#21069;&#24448;&#24191;&#35199;&#21306;&#22806;&#21153;&#24037;&#30340;&#33073;&#36139;&#21171;&#21160;&#21147;&#19968;&#27425;&#24615;&#20132;&#36890;&#34917;&#21161;&#33457;&#21517;&#20876;.xlsx"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21941;&#21941;\2023&#24180;\&#25206;&#36139;\&#20851;&#20110;&#20570;&#22909;&#33073;&#36139;&#21171;&#21160;&#21147;&#36328;&#30465;&#23601;&#19994;&#19968;&#27425;&#24615;&#20132;&#36890;&#34917;&#21161;&#24037;&#20316;&#30340;&#36890;&#30693;\&#38468;&#20214;6&#65306;&#40575;&#23528;&#21439;&#21069;&#24448;&#24191;&#35199;&#21306;&#22806;&#21153;&#24037;&#30340;&#33073;&#36139;&#21171;&#21160;&#21147;&#19968;&#27425;&#24615;&#20132;&#36890;&#34917;&#21161;&#33457;&#21517;&#20876;.xlsx"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65288;&#27743;&#21335;&#26449;&#31532;&#20845;&#25209;&#65289;&#38468;&#20214;6&#65306;&#38470;&#26790;&#29747;%20%20&#40575;&#23528;&#21439;&#21069;&#24448;&#24191;&#35199;&#21306;&#22806;&#21153;&#24037;&#30340;&#33073;&#36139;&#21171;&#21160;&#21147;&#19968;&#27425;&#24615;&#20132;&#36890;&#34917;&#21161;&#33457;&#21517;&#20876;.xlsx"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Users\Administrator\Desktop\&#65288;&#31532;&#20108;&#25209;&#65289;&#36328;&#30465;&#20132;&#36890;&#34917;&#21161;&#26448;&#26009;\&#26448;&#26009;\&#35203;&#19996;&#26126;2024&#24180;&#33073;&#36139;&#21171;&#21160;&#21147;&#36328;&#30465;&#23601;&#19994;&#19968;&#27425;&#24615;&#20132;&#36890;&#34917;&#21161;&#30003;&#35831;&#26448;&#26009;&#65288;&#35203;&#20184;&#29699;&#23567;&#22899;&#20799;&#65289;\&#35203;&#19996;&#26126;2024&#24180;&#33073;&#36139;&#21171;&#21160;&#21147;&#36328;&#30465;&#23601;&#19994;&#19968;&#27425;&#24615;&#20132;&#36890;&#34917;&#21161;&#30003;&#35831;&#26448;&#26009;&#65288;&#35203;&#20184;&#29699;&#23567;&#22899;&#20799;&#65289;\&#38468;&#20214;6&#65306;&#40575;&#23528;&#21439;&#33073;&#36139;&#21171;&#21160;&#21147;&#36328;&#30465;&#23601;&#19994;&#19968;&#27425;&#24615;&#20132;&#36890;&#34917;&#21161;&#33457;&#21517;&#20876;&#65288;&#35203;&#19996;&#26126;&#65289;.xlsx"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1532;&#19977;&#25209;\&#24110;&#25206;&#20154;&#30003;&#35831;\&#26753;&#35799;&#20250;\&#38468;&#20214;6&#65306;&#40575;&#23528;&#21439;&#33073;&#36139;&#21171;&#21160;&#21147;&#36328;&#30465;&#23601;&#19994;&#19968;&#27425;&#24615;&#20132;&#36890;&#34917;&#21161;&#33457;&#21517;&#20876;(4).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1532;&#19977;&#25209;\&#24110;&#25206;&#20154;&#30003;&#35831;\&#65288;&#26753;&#24425;&#33805;&#12289;&#26753;&#29141;&#36229;&#65289;2024&#40575;&#23528;&#21439;&#21069;&#24448;&#24191;&#35199;&#21306;&#22806;&#21153;&#24037;&#30340;&#33073;&#36139;&#21171;&#21160;&#21147;&#19968;&#27425;&#24615;&#20132;&#36890;&#34917;&#21161;\&#65288;&#26753;&#36155;&#20891;&#25143;-&#26753;&#24425;&#33805;&#12289;&#26753;&#29141;&#36229;&#65289;&#38468;&#20214;6&#65306;&#40575;&#23528;&#21439;&#21069;&#24448;&#24191;&#35199;&#21306;&#22806;&#21153;&#24037;&#30340;&#33073;&#36139;&#21171;&#21160;&#21147;&#19968;&#27425;&#24615;&#20132;&#36890;&#34917;&#21161;&#33457;&#21517;&#20876;.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1532;&#19977;&#25209;\&#24110;&#25206;&#20154;&#30003;&#35831;\&#65288;&#26753;&#36155;&#20891;&#65289;2024&#40575;&#23528;&#21439;&#21069;&#24448;&#24191;&#35199;&#21306;&#22806;&#21153;&#24037;&#30340;&#33073;&#36139;&#21171;&#21160;&#21147;&#19968;&#27425;&#24615;&#20132;&#36890;&#34917;&#21161;&#33457;&#21517;&#20876;\&#65288;&#26753;&#36155;&#20891;&#65289;2024&#40575;&#23528;&#21439;&#21069;&#24448;&#24191;&#35199;&#21306;&#22806;&#21153;&#24037;&#30340;&#33073;&#36139;&#21171;&#21160;&#21147;&#19968;&#27425;&#24615;&#20132;&#36890;&#34917;&#21161;&#33457;&#21517;&#20876;.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1532;&#19977;&#25209;\&#24110;&#25206;&#20154;&#30003;&#35831;\&#65288;&#20197;&#27492;&#20026;&#20934;-&#26753;&#21916;&#33635;&#12289;&#26753;&#20339;&#36149;&#65289;2024&#40575;&#23528;&#21439;&#21069;&#24448;&#24191;&#35199;&#21306;&#22806;&#21153;&#24037;&#30340;&#33073;&#36139;&#21171;&#21160;&#21147;&#19968;&#27425;&#24615;&#20132;&#36890;&#34917;&#21161;\&#65288;&#26753;&#21916;&#33635;&#12289;&#26753;&#20339;&#36149;&#65289;2024&#40575;&#23528;&#21439;&#21069;&#24448;&#24191;&#35199;&#21306;&#22806;&#21153;&#24037;&#30340;&#33073;&#36139;&#21171;&#21160;&#21147;&#19968;&#27425;&#24615;&#20132;&#36890;&#34917;&#21161;&#33457;&#21517;&#20876;.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1532;&#19977;&#25209;\&#24110;&#25206;&#20154;&#30003;&#35831;\&#24278;&#31036;&#32418;&#12289;&#26753;&#33635;&#29983;&#20132;&#36890;&#34917;&#36148;&#30003;&#35831;&#26448;&#26009;\&#65288;&#24278;&#31036;&#32418;&#12289;&#26753;&#33635;&#29983;&#65289;&#38468;&#20214;6&#65306;&#40575;&#23528;&#21439;&#33073;&#36139;&#21171;&#21160;&#21147;&#36328;&#30465;&#23601;&#19994;&#19968;&#27425;&#24615;&#20132;&#36890;&#34917;&#21161;&#33457;&#21517;&#20876;.xlsx"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1532;&#19977;&#25209;\&#24110;&#25206;&#20154;&#30003;&#35831;\&#28504;&#40510;&#31168;&#21153;&#24037;&#20132;&#36890;&#34917;&#21161;&#30003;&#35831;&#26448;&#26009;\&#38468;&#20214;6&#65306;&#65288;&#28504;&#40510;&#31168;&#65289;&#40575;&#23528;&#21439;&#33073;&#36139;&#21171;&#21160;&#21147;&#36328;&#30465;&#23601;&#19994;&#19968;&#27425;&#24615;&#20132;&#36890;&#34917;&#21161;&#33457;&#21517;&#20876;.xlsx"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38468;&#20214;6&#65306;&#40575;&#23528;&#21439;&#33073;&#36139;&#21171;&#21160;&#21147;&#36328;&#30465;&#23601;&#19994;&#19968;&#27425;&#24615;&#20132;&#36890;&#34917;&#21161;&#33457;&#21517;&#20876;(&#22235;&#25490;&#38215;&#30707;&#22937;&#26449;).xlsx"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Documents\WeChat%20Files\wwc13176328\FileStorage\File\2024-08\&#38468;&#20214;6&#65306;&#40575;&#23528;&#21439;&#33073;&#36139;&#21171;&#21160;&#21147;&#38886;&#20029;&#21326;&#25143;&#36328;&#30465;&#23601;&#19994;&#19968;&#27425;&#24615;&#20132;&#36890;&#34917;&#21161;&#33457;&#21517;&#20876;(1).xlsx"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32511;&#21494;&#30340;\&#25206;&#36139;&#20837;\&#25206;&#36139;2022.05.18\&#19968;&#27425;&#24615;&#24448;&#36820;&#20132;&#36890;&#34917;-&#35874;&#29066;&#24544;\&#38468;&#20214;6&#65306;&#40575;&#23528;&#21439;&#21069;&#24448;&#24191;&#35199;&#21306;&#22806;&#21153;&#24037;&#30340;&#33073;&#36139;&#21171;&#21160;&#21147;&#19968;&#27425;&#24615;&#24448;&#36820;&#20132;&#36890;&#34917;&#21161;&#33457;&#21517;&#20876;-&#35874;&#29066;&#24544;.xlsx"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38468;&#20214;6&#65306;&#40575;&#23528;&#21439;&#33073;&#36139;&#21171;&#21160;&#21147;&#36328;&#30465;&#23601;&#19994;&#19968;&#27425;&#24615;&#20132;&#36890;&#34917;&#21161;&#33457;&#21517;&#20876;&#65288;&#26631;&#40644;&#20225;&#19994;&#20986;&#20855;&#35777;&#26126;&#65289;.xlsx"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33539;&#26149;&#29983;&#12289;&#38886;&#29645;&#20964;&#25143;&#65306;&#40575;&#23528;&#21439;&#33073;&#36139;&#21171;&#21160;&#21147;&#36328;&#30465;&#23601;&#19994;&#19968;&#27425;&#24615;&#20132;&#36890;&#34917;&#21161;&#33457;&#21517;&#20876;.xlsx"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1532;&#20116;&#25209;\&#29579;&#22969;&#30456;&#20132;&#36890;&#34917;&#36148;\2.&#65288;&#29579;&#22969;&#30456;&#65289;&#38468;&#20214;6&#65306;&#40575;&#23528;&#21439;&#33073;&#36139;&#21171;&#21160;&#21147;&#36328;&#30465;&#23601;&#19994;&#19968;&#27425;&#24615;&#20132;&#36890;&#34917;&#21161;&#33457;&#21517;&#20876;.xlsx"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35203;&#22686;&#39034;&#25991;&#20214;\15.&#20132;&#36890;&#34917;&#36148;\2024&#24180;\&#24110;&#25206;&#20154;&#30003;&#35831;\8&#26376;\&#31532;&#20116;&#25209;\&#26032;&#24314;&#25991;&#20214;&#22841;\&#38468;&#20214;6&#65306;&#40575;&#23528;&#21439;&#33073;&#36139;&#21171;&#21160;&#21147;&#36328;&#30465;&#23601;&#19994;&#19968;&#27425;&#24615;&#20132;&#36890;&#34917;&#21161;&#33457;&#21517;&#20876;(1)(3).xlsx"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1.&#38886;&#28113;&#33805;&#38886;&#24314;&#33721;&#38468;&#20214;6&#65306;&#40575;&#23528;&#21439;&#21069;&#24448;&#24191;&#35199;&#21306;&#22806;&#21153;&#24037;&#30340;&#33073;&#36139;&#21171;&#21160;&#21147;&#19968;&#27425;&#24615;&#24448;&#36820;&#20132;&#36890;&#34917;&#21161;&#33457;&#21517;&#20876;0822.xlsx"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Users\Administrator\AppData\Local\Temp\Rar$DIa0.589\&#38468;&#20214;6&#65306;&#40575;&#23528;&#21439;&#33073;&#36139;&#21171;&#21160;&#21147;&#36328;&#30465;&#23601;&#19994;&#19968;&#27425;&#24615;&#20132;&#36890;&#34917;&#21161;&#33457;&#21517;&#20876;&#65288;&#26753;&#25996;&#33459;&#65289;.xlsx"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65288;&#27743;&#21335;&#26449;&#31532;&#19977;&#25209;&#65289;&#38468;&#20214;6&#65306;&#40575;&#23528;&#21439;&#33073;&#36139;&#21171;&#21160;&#21147;&#36328;&#30465;&#23601;&#19994;&#19968;&#27425;&#24615;&#20132;&#36890;&#34917;&#21161;&#33457;&#21517;&#20876;.xlsx"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24050;&#23457;%20&#22235;&#25490;%20&#38468;&#20214;6&#65306;&#40575;&#23528;&#21439;&#33073;&#36139;&#21171;&#21160;&#21147;&#36328;&#30465;&#23601;&#19994;&#19968;&#27425;&#24615;&#20132;&#36890;&#34917;&#21161;&#33457;&#21517;&#20876;(4).xlsx"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Users\qqq\Desktop\&#65288;&#40644;&#20975;&#25996;&#12289;&#35874;&#28113;&#29645;&#65289;&#30465;&#22806;&#20132;&#36890;&#34917;&#21161;\&#65288;&#40644;&#20975;&#25996;&#12289;&#35874;&#28113;&#29645;&#65289;&#38468;&#20214;6&#65306;&#40575;&#23528;&#21439;&#21069;&#24448;&#24191;&#35199;&#21306;&#22806;&#21153;&#24037;&#30340;&#33073;&#36139;&#21171;&#21160;&#21147;&#19968;&#27425;&#24615;&#20132;&#36890;&#34917;&#21161;&#33457;&#21517;&#20876;.xlsx"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Users\Administrator\Documents\WeChat%20Files\wxid_yvgv85m8hc6611\FileStorage\File\2024-08\&#38468;&#20214;6&#65306;&#40575;&#23528;&#21439;&#21069;&#24448;&#24191;&#35199;&#21306;&#22806;&#21153;&#24037;&#30340;&#33073;&#36139;&#21171;&#21160;&#21147;&#19968;&#27425;&#24615;&#20132;&#36890;&#34917;&#21161;&#33457;&#21517;&#20876;.xlsx"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Users\Administrator\Documents\WeChat%20Files\lanmei_792028574\FileStorage\File\2024-08\&#38468;&#20214;6&#65306;2024&#24180;&#40575;&#23528;&#21439;&#33073;&#36139;&#21171;&#21160;&#21147;&#36328;&#30465;&#23601;&#19994;&#19968;&#27425;&#24615;&#20132;&#36890;&#34917;&#21161;&#33457;&#21517;&#20876;.xlsx&#65288;&#31532;&#20108;&#25209;&#65289;.xlsx"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Users\Administrator\AppData\Local\Temp\360zip$Temp\360$4\&#38472;&#29788;--&#40575;&#23528;&#21439;&#21069;&#24448;&#24191;&#35199;&#21306;&#22806;&#21153;&#24037;&#30340;&#33073;&#36139;&#21171;&#21160;&#21147;&#19968;&#27425;&#24615;&#24448;&#36820;&#20132;&#36890;&#34917;&#21161;&#33457;&#21517;&#20876;(2).xlsx"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WeChat%20Files\wxid_1032410323612\FileStorage\File\2023-07\&#38468;&#20214;6&#65306;&#40575;&#23528;&#21439;&#21069;&#24448;&#24191;&#35199;&#21306;&#22806;&#21153;&#24037;&#30340;&#33073;&#36139;&#21171;&#21160;&#21147;&#19968;&#27425;&#24615;&#20132;&#36890;&#34917;&#21161;&#33457;&#21517;&#20876;(&#25143;&#20027;&#65306;&#25140;&#26032;&#21916;).xlsx"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Users\Administrator\Documents\WeChat%20Files\wxid_yvgv85m8hc6611\FileStorage\File\2024-08\1_&#38468;&#20214;6&#65306;&#40575;&#23528;&#21439;&#21069;&#24448;&#24191;&#35199;&#21306;&#22806;&#21153;&#24037;&#30340;&#33073;&#36139;&#21171;&#21160;&#21147;&#19968;&#27425;&#24615;&#24448;&#36820;&#20132;&#36890;&#34917;&#21161;&#33457;&#21517;&#20876;&#31532;&#20108;&#25209;8&#26376;18.xlsx"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Users\Administrator\AppData\Local\Temp\360zip$Temp\360$18\&#38468;&#20214;6&#65306;&#40575;&#23528;&#21439;&#33073;&#36139;&#21171;&#21160;&#21147;&#36328;&#30465;&#23601;&#19994;&#19968;&#27425;&#24615;&#20132;&#36890;&#34917;&#21161;&#33457;&#21517;&#20876;.xlsx"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file:///D:\&#25105;&#30340;&#25991;&#26723;\Documents\WeChat%20Files\wxid_j9ljdhwprxi721\FileStorage\File\2024-08\&#65288;&#31532;&#19977;&#25209;&#65289;&#38468;&#20214;6&#65306;&#40575;&#23528;&#21439;&#21069;&#24448;&#24191;&#35199;&#21306;&#22806;&#21153;&#24037;&#30340;&#33073;&#36139;&#21171;&#21160;&#21147;&#19968;&#27425;&#24615;&#20132;&#36890;&#34917;&#21161;&#33457;&#21517;&#20876;.xlsx" TargetMode="External"/></Relationships>
</file>

<file path=xl/externalLinks/_rels/externalLink285.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24050;&#23457;&#65288;&#40575;&#23528;&#38215;&#31532;&#20108;&#25209;&#65289;&#38468;&#20214;6&#65306;&#40575;&#23528;&#21439;&#21069;&#24448;&#24191;&#35199;&#21306;&#22806;&#21153;&#24037;&#30340;&#33073;&#36139;&#21171;&#21160;&#21147;&#19968;&#27425;&#24615;&#20132;&#36890;&#34917;&#21161;&#33457;&#21517;&#20876;(1).xlsx"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Users\Administrator\Desktop\&#20132;&#36890;&#34917;&#21161;&#31532;&#20108;&#25209;\&#24050;&#23457;%20&#27743;&#21475;&#20065;&#40575;&#23528;&#21439;&#33073;&#36139;&#21171;&#21160;&#21147;&#36328;&#30465;&#23601;&#19994;&#19968;&#27425;&#24615;&#20132;&#36890;&#34917;&#21161;&#33457;&#21517;&#20876;(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第一批"/>
      <sheetName val="Sheet2"/>
      <sheetName val="第二批"/>
      <sheetName val="第三批"/>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总表"/>
      <sheetName val="第一批7人"/>
      <sheetName val="第二批30人"/>
      <sheetName val="第三批61人"/>
      <sheetName val="第四批 63人"/>
      <sheetName val="第五批63人"/>
      <sheetName val="第六批11人"/>
      <sheetName val="第七批5人"/>
      <sheetName val="幽兰村"/>
      <sheetName val="Sheet2"/>
      <sheetName val="六脉村"/>
      <sheetName val="改江村"/>
      <sheetName val="石门村"/>
      <sheetName val="黄冕村"/>
      <sheetName val="旧街村"/>
      <sheetName val="山脚村"/>
      <sheetName val="爱国村"/>
      <sheetName val="古赏村"/>
      <sheetName val="盘龙村"/>
      <sheetName val="大端村"/>
      <sheetName val="专列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6.13（材料已交）"/>
      <sheetName val="Sheet2"/>
      <sheetName val="2023-7-24"/>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总"/>
      <sheetName val="第二批36人"/>
      <sheetName val="Sheet2"/>
      <sheetName val="第三批93人"/>
      <sheetName val="第四批27人"/>
      <sheetName val="第五批55人"/>
      <sheetName val="第六批27人"/>
      <sheetName val="第七批10人"/>
      <sheetName val="第八批8人"/>
    </sheetNames>
    <sheetDataSet>
      <sheetData sheetId="0" refreshError="1"/>
      <sheetData sheetId="1" refreshError="1"/>
      <sheetData sheetId="2"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heet1 (2)"/>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寨上村"/>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5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5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5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5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5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5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sheetDataSet>
  </externalBook>
</externalLink>
</file>

<file path=xl/externalLinks/externalLink16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6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6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6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6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6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6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6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6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7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7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7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7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7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7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7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7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7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7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9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9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9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9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9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9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9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9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9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9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0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0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0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0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0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0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0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0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0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0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15.xml><?xml version="1.0" encoding="utf-8"?>
<externalLink xmlns="http://schemas.openxmlformats.org/spreadsheetml/2006/main">
  <externalBook xmlns:r="http://schemas.openxmlformats.org/officeDocument/2006/relationships" r:id="rId1">
    <sheetNames>
      <sheetName val="第一批 "/>
      <sheetName val="第二批"/>
      <sheetName val="Sheet2"/>
      <sheetName val="Sheet3"/>
    </sheetNames>
    <sheetDataSet>
      <sheetData sheetId="0" refreshError="1"/>
      <sheetData sheetId="1" refreshError="1"/>
      <sheetData sheetId="2"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3" refreshError="1"/>
    </sheetDataSet>
  </externalBook>
</externalLink>
</file>

<file path=xl/externalLinks/externalLink216.xml><?xml version="1.0" encoding="utf-8"?>
<externalLink xmlns="http://schemas.openxmlformats.org/spreadsheetml/2006/main">
  <externalBook xmlns:r="http://schemas.openxmlformats.org/officeDocument/2006/relationships" r:id="rId1">
    <sheetNames>
      <sheetName val="第一批 "/>
      <sheetName val="第二批"/>
      <sheetName val="Sheet2"/>
      <sheetName val="Sheet3"/>
    </sheetNames>
    <sheetDataSet>
      <sheetData sheetId="0" refreshError="1"/>
      <sheetData sheetId="1" refreshError="1"/>
      <sheetData sheetId="2"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3" refreshError="1"/>
    </sheetDataSet>
  </externalBook>
</externalLink>
</file>

<file path=xl/externalLinks/externalLink2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2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2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2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2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2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2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3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3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3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3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3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3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3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3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3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3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4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4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4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4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4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4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4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4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4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4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5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5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5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5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5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5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5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5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5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5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6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6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6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6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6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6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6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6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6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6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7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7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7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7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7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7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7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7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7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7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8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8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8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8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8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sheetDataSet>
  </externalBook>
</externalLink>
</file>

<file path=xl/externalLinks/externalLink28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sheetDataSet>
  </externalBook>
</externalLink>
</file>

<file path=xl/externalLinks/externalLink28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oleObject" Target="../embeddings/oleObject2.bin"/><Relationship Id="rId4" Type="http://schemas.openxmlformats.org/officeDocument/2006/relationships/image" Target="../media/image1.w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798"/>
  <sheetViews>
    <sheetView tabSelected="1" workbookViewId="0">
      <selection activeCell="H7" sqref="H7"/>
    </sheetView>
  </sheetViews>
  <sheetFormatPr defaultColWidth="9" defaultRowHeight="30" customHeight="1"/>
  <cols>
    <col min="1" max="1" width="12" style="9" customWidth="1"/>
    <col min="2" max="4" width="16.125" style="9" customWidth="1"/>
    <col min="5" max="5" width="20.25" style="10" customWidth="1"/>
    <col min="6" max="6" width="14.775" style="9" customWidth="1"/>
    <col min="7" max="7" width="18.125" style="11" customWidth="1"/>
    <col min="8" max="8" width="19.875" style="12" customWidth="1"/>
    <col min="9" max="9" width="16.3" style="4" customWidth="1"/>
    <col min="10" max="10" width="26.125" style="11" customWidth="1"/>
    <col min="11" max="11" width="12.8166666666667" style="9" customWidth="1"/>
    <col min="12" max="16384" width="9" style="9"/>
  </cols>
  <sheetData>
    <row r="1" ht="23.1" customHeight="1" spans="1:3">
      <c r="A1" s="13" t="s">
        <v>0</v>
      </c>
      <c r="B1" s="13"/>
      <c r="C1" s="13"/>
    </row>
    <row r="2" ht="42" customHeight="1" spans="1:11">
      <c r="A2" s="14" t="s">
        <v>1</v>
      </c>
      <c r="B2" s="14"/>
      <c r="C2" s="14"/>
      <c r="D2" s="14"/>
      <c r="E2" s="4"/>
      <c r="F2" s="14"/>
      <c r="G2" s="14"/>
      <c r="H2" s="14"/>
      <c r="J2" s="14"/>
      <c r="K2" s="14"/>
    </row>
    <row r="3" s="4" customFormat="1" ht="43.5" customHeight="1" spans="1:11">
      <c r="A3" s="15" t="s">
        <v>2</v>
      </c>
      <c r="B3" s="15"/>
      <c r="C3" s="15"/>
      <c r="D3" s="15"/>
      <c r="E3" s="15"/>
      <c r="F3" s="15"/>
      <c r="G3" s="15"/>
      <c r="H3" s="15"/>
      <c r="I3" s="15"/>
      <c r="J3" s="15"/>
      <c r="K3" s="15"/>
    </row>
    <row r="4" s="4" customFormat="1" customHeight="1" spans="1:11">
      <c r="A4" s="16" t="s">
        <v>3</v>
      </c>
      <c r="B4" s="16" t="s">
        <v>4</v>
      </c>
      <c r="C4" s="16" t="s">
        <v>5</v>
      </c>
      <c r="D4" s="16" t="s">
        <v>6</v>
      </c>
      <c r="E4" s="17" t="s">
        <v>7</v>
      </c>
      <c r="F4" s="16" t="s">
        <v>8</v>
      </c>
      <c r="G4" s="16" t="s">
        <v>9</v>
      </c>
      <c r="H4" s="18" t="s">
        <v>10</v>
      </c>
      <c r="I4" s="16" t="s">
        <v>11</v>
      </c>
      <c r="J4" s="16" t="s">
        <v>12</v>
      </c>
      <c r="K4" s="20" t="s">
        <v>13</v>
      </c>
    </row>
    <row r="5" s="4" customFormat="1" ht="31" customHeight="1" spans="1:11">
      <c r="A5" s="19">
        <v>1</v>
      </c>
      <c r="B5" s="20" t="s">
        <v>14</v>
      </c>
      <c r="C5" s="20" t="s">
        <v>15</v>
      </c>
      <c r="D5" s="20" t="s">
        <v>16</v>
      </c>
      <c r="E5" s="21" t="s">
        <v>17</v>
      </c>
      <c r="F5" s="20" t="s">
        <v>18</v>
      </c>
      <c r="G5" s="20" t="s">
        <v>19</v>
      </c>
      <c r="H5" s="22">
        <v>45323</v>
      </c>
      <c r="I5" s="19">
        <f>IF(F5="是",VLOOKUP(G5,[9]Sheet2!A:C,3,FALSE),VLOOKUP(G5,[9]Sheet2!A:B,2,FALSE))</f>
        <v>600</v>
      </c>
      <c r="J5" s="24" t="s">
        <v>20</v>
      </c>
      <c r="K5" s="20"/>
    </row>
    <row r="6" s="4" customFormat="1" ht="31" customHeight="1" spans="1:11">
      <c r="A6" s="19">
        <v>2</v>
      </c>
      <c r="B6" s="20" t="s">
        <v>14</v>
      </c>
      <c r="C6" s="20" t="s">
        <v>15</v>
      </c>
      <c r="D6" s="20" t="s">
        <v>21</v>
      </c>
      <c r="E6" s="21" t="s">
        <v>17</v>
      </c>
      <c r="F6" s="20" t="s">
        <v>18</v>
      </c>
      <c r="G6" s="20" t="s">
        <v>19</v>
      </c>
      <c r="H6" s="22">
        <v>45323</v>
      </c>
      <c r="I6" s="19">
        <f>IF(F6="是",VLOOKUP(G6,[9]Sheet2!A:C,3,FALSE),VLOOKUP(G6,[9]Sheet2!A:B,2,FALSE))</f>
        <v>600</v>
      </c>
      <c r="J6" s="24" t="s">
        <v>20</v>
      </c>
      <c r="K6" s="20"/>
    </row>
    <row r="7" s="4" customFormat="1" ht="31" customHeight="1" spans="1:11">
      <c r="A7" s="19">
        <v>3</v>
      </c>
      <c r="B7" s="20" t="s">
        <v>14</v>
      </c>
      <c r="C7" s="20" t="s">
        <v>15</v>
      </c>
      <c r="D7" s="20" t="s">
        <v>22</v>
      </c>
      <c r="E7" s="21" t="s">
        <v>17</v>
      </c>
      <c r="F7" s="20" t="s">
        <v>18</v>
      </c>
      <c r="G7" s="20" t="s">
        <v>19</v>
      </c>
      <c r="H7" s="22">
        <v>45323</v>
      </c>
      <c r="I7" s="19">
        <f>IF(F7="是",VLOOKUP(G7,[9]Sheet2!A:C,3,FALSE),VLOOKUP(G7,[9]Sheet2!A:B,2,FALSE))</f>
        <v>600</v>
      </c>
      <c r="J7" s="24" t="s">
        <v>20</v>
      </c>
      <c r="K7" s="20"/>
    </row>
    <row r="8" s="4" customFormat="1" ht="31" customHeight="1" spans="1:11">
      <c r="A8" s="19">
        <v>4</v>
      </c>
      <c r="B8" s="20" t="s">
        <v>14</v>
      </c>
      <c r="C8" s="20" t="s">
        <v>15</v>
      </c>
      <c r="D8" s="20" t="s">
        <v>23</v>
      </c>
      <c r="E8" s="21" t="s">
        <v>17</v>
      </c>
      <c r="F8" s="20" t="s">
        <v>18</v>
      </c>
      <c r="G8" s="20" t="s">
        <v>19</v>
      </c>
      <c r="H8" s="22">
        <v>45323</v>
      </c>
      <c r="I8" s="19">
        <f>IF(F8="是",VLOOKUP(G8,[9]Sheet2!A:C,3,FALSE),VLOOKUP(G8,[9]Sheet2!A:B,2,FALSE))</f>
        <v>600</v>
      </c>
      <c r="J8" s="24" t="s">
        <v>20</v>
      </c>
      <c r="K8" s="20"/>
    </row>
    <row r="9" s="4" customFormat="1" ht="31" customHeight="1" spans="1:11">
      <c r="A9" s="19">
        <v>5</v>
      </c>
      <c r="B9" s="20" t="s">
        <v>14</v>
      </c>
      <c r="C9" s="20" t="s">
        <v>15</v>
      </c>
      <c r="D9" s="20" t="s">
        <v>24</v>
      </c>
      <c r="E9" s="21" t="s">
        <v>17</v>
      </c>
      <c r="F9" s="20" t="s">
        <v>18</v>
      </c>
      <c r="G9" s="20" t="s">
        <v>19</v>
      </c>
      <c r="H9" s="22">
        <v>45353</v>
      </c>
      <c r="I9" s="19">
        <f>IF(F9="是",VLOOKUP(G9,[9]Sheet2!A:C,3,FALSE),VLOOKUP(G9,[9]Sheet2!A:B,2,FALSE))</f>
        <v>600</v>
      </c>
      <c r="J9" s="24" t="s">
        <v>20</v>
      </c>
      <c r="K9" s="20"/>
    </row>
    <row r="10" s="4" customFormat="1" ht="31" customHeight="1" spans="1:11">
      <c r="A10" s="19">
        <v>6</v>
      </c>
      <c r="B10" s="20" t="s">
        <v>14</v>
      </c>
      <c r="C10" s="20" t="s">
        <v>15</v>
      </c>
      <c r="D10" s="20" t="s">
        <v>25</v>
      </c>
      <c r="E10" s="21" t="s">
        <v>17</v>
      </c>
      <c r="F10" s="20" t="s">
        <v>18</v>
      </c>
      <c r="G10" s="20" t="s">
        <v>19</v>
      </c>
      <c r="H10" s="23">
        <v>45323</v>
      </c>
      <c r="I10" s="19">
        <f>IF(F10="是",VLOOKUP(G10,[9]Sheet2!A:C,3,FALSE),VLOOKUP(G10,[9]Sheet2!A:B,2,FALSE))</f>
        <v>600</v>
      </c>
      <c r="J10" s="24" t="s">
        <v>20</v>
      </c>
      <c r="K10" s="20"/>
    </row>
    <row r="11" s="5" customFormat="1" ht="31" customHeight="1" spans="1:11">
      <c r="A11" s="19">
        <v>7</v>
      </c>
      <c r="B11" s="20" t="s">
        <v>14</v>
      </c>
      <c r="C11" s="20" t="s">
        <v>15</v>
      </c>
      <c r="D11" s="20" t="s">
        <v>26</v>
      </c>
      <c r="E11" s="21" t="s">
        <v>17</v>
      </c>
      <c r="F11" s="20" t="s">
        <v>18</v>
      </c>
      <c r="G11" s="20" t="s">
        <v>19</v>
      </c>
      <c r="H11" s="22">
        <v>45413</v>
      </c>
      <c r="I11" s="19">
        <f>IF(F11="是",VLOOKUP(G11,[9]Sheet2!A:C,3,FALSE),VLOOKUP(G11,[9]Sheet2!A:B,2,FALSE))</f>
        <v>600</v>
      </c>
      <c r="J11" s="24" t="s">
        <v>20</v>
      </c>
      <c r="K11" s="20"/>
    </row>
    <row r="12" s="4" customFormat="1" ht="31" customHeight="1" spans="1:11">
      <c r="A12" s="19">
        <v>8</v>
      </c>
      <c r="B12" s="20" t="s">
        <v>14</v>
      </c>
      <c r="C12" s="20" t="s">
        <v>15</v>
      </c>
      <c r="D12" s="20" t="s">
        <v>27</v>
      </c>
      <c r="E12" s="21" t="s">
        <v>17</v>
      </c>
      <c r="F12" s="20" t="s">
        <v>18</v>
      </c>
      <c r="G12" s="20" t="s">
        <v>19</v>
      </c>
      <c r="H12" s="22">
        <v>45323</v>
      </c>
      <c r="I12" s="19">
        <f>IF(F12="是",VLOOKUP(G12,[9]Sheet2!A:C,3,FALSE),VLOOKUP(G12,[9]Sheet2!A:B,2,FALSE))</f>
        <v>600</v>
      </c>
      <c r="J12" s="24" t="s">
        <v>20</v>
      </c>
      <c r="K12" s="20"/>
    </row>
    <row r="13" s="4" customFormat="1" ht="31" customHeight="1" spans="1:11">
      <c r="A13" s="19">
        <v>9</v>
      </c>
      <c r="B13" s="20" t="s">
        <v>14</v>
      </c>
      <c r="C13" s="20" t="s">
        <v>15</v>
      </c>
      <c r="D13" s="20" t="s">
        <v>28</v>
      </c>
      <c r="E13" s="21" t="s">
        <v>17</v>
      </c>
      <c r="F13" s="20" t="s">
        <v>18</v>
      </c>
      <c r="G13" s="20" t="s">
        <v>29</v>
      </c>
      <c r="H13" s="22">
        <v>45323</v>
      </c>
      <c r="I13" s="19">
        <f>IF(F13="是",VLOOKUP(G13,[9]Sheet2!A:C,3,FALSE),VLOOKUP(G13,[9]Sheet2!A:B,2,FALSE))</f>
        <v>800</v>
      </c>
      <c r="J13" s="24" t="s">
        <v>20</v>
      </c>
      <c r="K13" s="20"/>
    </row>
    <row r="14" s="4" customFormat="1" ht="31" customHeight="1" spans="1:11">
      <c r="A14" s="19">
        <v>10</v>
      </c>
      <c r="B14" s="20" t="s">
        <v>14</v>
      </c>
      <c r="C14" s="20" t="s">
        <v>15</v>
      </c>
      <c r="D14" s="20" t="s">
        <v>30</v>
      </c>
      <c r="E14" s="21" t="s">
        <v>17</v>
      </c>
      <c r="F14" s="20" t="s">
        <v>18</v>
      </c>
      <c r="G14" s="20" t="s">
        <v>19</v>
      </c>
      <c r="H14" s="22">
        <v>45323</v>
      </c>
      <c r="I14" s="19">
        <f>IF(F14="是",VLOOKUP(G14,[9]Sheet2!A:C,3,FALSE),VLOOKUP(G14,[9]Sheet2!A:B,2,FALSE))</f>
        <v>600</v>
      </c>
      <c r="J14" s="24" t="s">
        <v>20</v>
      </c>
      <c r="K14" s="20"/>
    </row>
    <row r="15" s="4" customFormat="1" ht="31" customHeight="1" spans="1:11">
      <c r="A15" s="19">
        <v>11</v>
      </c>
      <c r="B15" s="20" t="s">
        <v>14</v>
      </c>
      <c r="C15" s="20" t="s">
        <v>15</v>
      </c>
      <c r="D15" s="20" t="s">
        <v>31</v>
      </c>
      <c r="E15" s="21" t="s">
        <v>17</v>
      </c>
      <c r="F15" s="20" t="s">
        <v>18</v>
      </c>
      <c r="G15" s="20" t="s">
        <v>32</v>
      </c>
      <c r="H15" s="22">
        <v>45323</v>
      </c>
      <c r="I15" s="19">
        <f>IF(F15="是",VLOOKUP(G15,[9]Sheet2!A:C,3,FALSE),VLOOKUP(G15,[9]Sheet2!A:B,2,FALSE))</f>
        <v>800</v>
      </c>
      <c r="J15" s="24" t="s">
        <v>20</v>
      </c>
      <c r="K15" s="20"/>
    </row>
    <row r="16" s="4" customFormat="1" ht="31" customHeight="1" spans="1:11">
      <c r="A16" s="19">
        <v>12</v>
      </c>
      <c r="B16" s="20" t="s">
        <v>14</v>
      </c>
      <c r="C16" s="20" t="s">
        <v>15</v>
      </c>
      <c r="D16" s="20" t="s">
        <v>33</v>
      </c>
      <c r="E16" s="21" t="s">
        <v>17</v>
      </c>
      <c r="F16" s="20" t="s">
        <v>18</v>
      </c>
      <c r="G16" s="20" t="s">
        <v>19</v>
      </c>
      <c r="H16" s="22">
        <v>45323</v>
      </c>
      <c r="I16" s="19">
        <f>IF(F16="是",VLOOKUP(G16,[9]Sheet2!A:C,3,FALSE),VLOOKUP(G16,[9]Sheet2!A:B,2,FALSE))</f>
        <v>600</v>
      </c>
      <c r="J16" s="24" t="s">
        <v>20</v>
      </c>
      <c r="K16" s="20"/>
    </row>
    <row r="17" s="4" customFormat="1" ht="31" customHeight="1" spans="1:11">
      <c r="A17" s="19">
        <v>13</v>
      </c>
      <c r="B17" s="20" t="s">
        <v>14</v>
      </c>
      <c r="C17" s="20" t="s">
        <v>15</v>
      </c>
      <c r="D17" s="20" t="s">
        <v>34</v>
      </c>
      <c r="E17" s="21" t="s">
        <v>17</v>
      </c>
      <c r="F17" s="20" t="s">
        <v>18</v>
      </c>
      <c r="G17" s="20" t="s">
        <v>19</v>
      </c>
      <c r="H17" s="22">
        <v>45323</v>
      </c>
      <c r="I17" s="19">
        <f>IF(F17="是",VLOOKUP(G17,[9]Sheet2!A:C,3,FALSE),VLOOKUP(G17,[9]Sheet2!A:B,2,FALSE))</f>
        <v>600</v>
      </c>
      <c r="J17" s="24" t="s">
        <v>20</v>
      </c>
      <c r="K17" s="20"/>
    </row>
    <row r="18" s="4" customFormat="1" ht="31" customHeight="1" spans="1:11">
      <c r="A18" s="19">
        <v>14</v>
      </c>
      <c r="B18" s="20" t="s">
        <v>14</v>
      </c>
      <c r="C18" s="20" t="s">
        <v>15</v>
      </c>
      <c r="D18" s="20" t="s">
        <v>35</v>
      </c>
      <c r="E18" s="21" t="s">
        <v>17</v>
      </c>
      <c r="F18" s="20" t="s">
        <v>18</v>
      </c>
      <c r="G18" s="20" t="s">
        <v>19</v>
      </c>
      <c r="H18" s="22">
        <v>45295</v>
      </c>
      <c r="I18" s="19">
        <v>600</v>
      </c>
      <c r="J18" s="24" t="s">
        <v>20</v>
      </c>
      <c r="K18" s="20"/>
    </row>
    <row r="19" s="4" customFormat="1" ht="31" customHeight="1" spans="1:11">
      <c r="A19" s="19">
        <v>15</v>
      </c>
      <c r="B19" s="20" t="s">
        <v>14</v>
      </c>
      <c r="C19" s="20" t="s">
        <v>15</v>
      </c>
      <c r="D19" s="20" t="s">
        <v>36</v>
      </c>
      <c r="E19" s="21" t="s">
        <v>17</v>
      </c>
      <c r="F19" s="20" t="s">
        <v>18</v>
      </c>
      <c r="G19" s="20" t="s">
        <v>19</v>
      </c>
      <c r="H19" s="22">
        <v>45295</v>
      </c>
      <c r="I19" s="19">
        <v>600</v>
      </c>
      <c r="J19" s="24" t="s">
        <v>20</v>
      </c>
      <c r="K19" s="20"/>
    </row>
    <row r="20" s="4" customFormat="1" ht="31" customHeight="1" spans="1:11">
      <c r="A20" s="19">
        <v>16</v>
      </c>
      <c r="B20" s="20" t="s">
        <v>14</v>
      </c>
      <c r="C20" s="20" t="s">
        <v>15</v>
      </c>
      <c r="D20" s="20" t="s">
        <v>37</v>
      </c>
      <c r="E20" s="21" t="s">
        <v>17</v>
      </c>
      <c r="F20" s="20" t="s">
        <v>18</v>
      </c>
      <c r="G20" s="20" t="s">
        <v>38</v>
      </c>
      <c r="H20" s="23">
        <v>45499</v>
      </c>
      <c r="I20" s="19">
        <f>IF(F20="是",VLOOKUP(G20,[9]Sheet2!A:C,3,FALSE),VLOOKUP(G20,[9]Sheet2!A:B,2,FALSE))</f>
        <v>600</v>
      </c>
      <c r="J20" s="24" t="s">
        <v>20</v>
      </c>
      <c r="K20" s="20"/>
    </row>
    <row r="21" s="4" customFormat="1" ht="31" customHeight="1" spans="1:11">
      <c r="A21" s="19">
        <v>17</v>
      </c>
      <c r="B21" s="20" t="s">
        <v>14</v>
      </c>
      <c r="C21" s="20" t="s">
        <v>15</v>
      </c>
      <c r="D21" s="20" t="s">
        <v>39</v>
      </c>
      <c r="E21" s="21" t="s">
        <v>17</v>
      </c>
      <c r="F21" s="20" t="s">
        <v>18</v>
      </c>
      <c r="G21" s="20" t="s">
        <v>19</v>
      </c>
      <c r="H21" s="23">
        <v>45469</v>
      </c>
      <c r="I21" s="19">
        <v>600</v>
      </c>
      <c r="J21" s="24" t="s">
        <v>20</v>
      </c>
      <c r="K21" s="20"/>
    </row>
    <row r="22" s="4" customFormat="1" ht="31" customHeight="1" spans="1:11">
      <c r="A22" s="19">
        <v>18</v>
      </c>
      <c r="B22" s="20" t="s">
        <v>14</v>
      </c>
      <c r="C22" s="20" t="s">
        <v>15</v>
      </c>
      <c r="D22" s="20" t="s">
        <v>40</v>
      </c>
      <c r="E22" s="21" t="s">
        <v>17</v>
      </c>
      <c r="F22" s="20" t="s">
        <v>18</v>
      </c>
      <c r="G22" s="20" t="s">
        <v>19</v>
      </c>
      <c r="H22" s="23">
        <v>45352</v>
      </c>
      <c r="I22" s="19">
        <v>600</v>
      </c>
      <c r="J22" s="24" t="s">
        <v>20</v>
      </c>
      <c r="K22" s="20"/>
    </row>
    <row r="23" s="4" customFormat="1" ht="31" customHeight="1" spans="1:11">
      <c r="A23" s="19">
        <v>19</v>
      </c>
      <c r="B23" s="20" t="s">
        <v>14</v>
      </c>
      <c r="C23" s="20" t="s">
        <v>15</v>
      </c>
      <c r="D23" s="20" t="s">
        <v>41</v>
      </c>
      <c r="E23" s="21" t="s">
        <v>17</v>
      </c>
      <c r="F23" s="20" t="s">
        <v>18</v>
      </c>
      <c r="G23" s="20" t="s">
        <v>19</v>
      </c>
      <c r="H23" s="23">
        <v>45352</v>
      </c>
      <c r="I23" s="19">
        <f>IF(F23="是",VLOOKUP(G23,[25]Sheet2!A:C,3,FALSE),VLOOKUP(G23,[25]Sheet2!A:B,2,FALSE))</f>
        <v>600</v>
      </c>
      <c r="J23" s="24" t="s">
        <v>20</v>
      </c>
      <c r="K23" s="20"/>
    </row>
    <row r="24" s="4" customFormat="1" ht="31" customHeight="1" spans="1:11">
      <c r="A24" s="19">
        <v>20</v>
      </c>
      <c r="B24" s="20" t="s">
        <v>14</v>
      </c>
      <c r="C24" s="20" t="s">
        <v>15</v>
      </c>
      <c r="D24" s="20" t="s">
        <v>42</v>
      </c>
      <c r="E24" s="21" t="s">
        <v>17</v>
      </c>
      <c r="F24" s="20" t="s">
        <v>18</v>
      </c>
      <c r="G24" s="20" t="s">
        <v>19</v>
      </c>
      <c r="H24" s="23">
        <v>45348</v>
      </c>
      <c r="I24" s="19">
        <v>600</v>
      </c>
      <c r="J24" s="24" t="s">
        <v>20</v>
      </c>
      <c r="K24" s="20"/>
    </row>
    <row r="25" s="4" customFormat="1" ht="31" customHeight="1" spans="1:11">
      <c r="A25" s="19">
        <v>21</v>
      </c>
      <c r="B25" s="20" t="s">
        <v>14</v>
      </c>
      <c r="C25" s="20" t="s">
        <v>43</v>
      </c>
      <c r="D25" s="20" t="s">
        <v>44</v>
      </c>
      <c r="E25" s="21" t="s">
        <v>17</v>
      </c>
      <c r="F25" s="20" t="s">
        <v>18</v>
      </c>
      <c r="G25" s="20" t="s">
        <v>19</v>
      </c>
      <c r="H25" s="22">
        <v>45352</v>
      </c>
      <c r="I25" s="19">
        <f>IF(F25="是",VLOOKUP(G25,[9]Sheet2!A:C,3,FALSE),VLOOKUP(G25,[9]Sheet2!A:B,2,FALSE))</f>
        <v>600</v>
      </c>
      <c r="J25" s="24" t="s">
        <v>20</v>
      </c>
      <c r="K25" s="20"/>
    </row>
    <row r="26" s="4" customFormat="1" ht="31" customHeight="1" spans="1:11">
      <c r="A26" s="19">
        <v>22</v>
      </c>
      <c r="B26" s="20" t="s">
        <v>14</v>
      </c>
      <c r="C26" s="20" t="s">
        <v>43</v>
      </c>
      <c r="D26" s="20" t="s">
        <v>45</v>
      </c>
      <c r="E26" s="21" t="s">
        <v>17</v>
      </c>
      <c r="F26" s="20" t="s">
        <v>18</v>
      </c>
      <c r="G26" s="20" t="s">
        <v>19</v>
      </c>
      <c r="H26" s="22">
        <v>45352</v>
      </c>
      <c r="I26" s="19">
        <f>IF(F26="是",VLOOKUP(G26,[1]Sheet2!A:C,3,FALSE),VLOOKUP(G26,[1]Sheet2!A:B,2,FALSE))</f>
        <v>600</v>
      </c>
      <c r="J26" s="24" t="s">
        <v>20</v>
      </c>
      <c r="K26" s="20"/>
    </row>
    <row r="27" s="4" customFormat="1" ht="31" customHeight="1" spans="1:11">
      <c r="A27" s="19">
        <v>23</v>
      </c>
      <c r="B27" s="20" t="s">
        <v>14</v>
      </c>
      <c r="C27" s="20" t="s">
        <v>43</v>
      </c>
      <c r="D27" s="20" t="s">
        <v>46</v>
      </c>
      <c r="E27" s="21" t="s">
        <v>17</v>
      </c>
      <c r="F27" s="20" t="s">
        <v>18</v>
      </c>
      <c r="G27" s="20" t="s">
        <v>19</v>
      </c>
      <c r="H27" s="22">
        <v>45422</v>
      </c>
      <c r="I27" s="19">
        <f>IF(F27="是",VLOOKUP(G27,[12]Sheet2!A:C,3,FALSE),VLOOKUP(G27,[12]Sheet2!A:B,2,FALSE))</f>
        <v>600</v>
      </c>
      <c r="J27" s="24" t="s">
        <v>20</v>
      </c>
      <c r="K27" s="20"/>
    </row>
    <row r="28" s="4" customFormat="1" ht="31" customHeight="1" spans="1:11">
      <c r="A28" s="19">
        <v>24</v>
      </c>
      <c r="B28" s="20" t="s">
        <v>14</v>
      </c>
      <c r="C28" s="20" t="s">
        <v>43</v>
      </c>
      <c r="D28" s="20" t="s">
        <v>47</v>
      </c>
      <c r="E28" s="21" t="s">
        <v>17</v>
      </c>
      <c r="F28" s="20" t="s">
        <v>18</v>
      </c>
      <c r="G28" s="20" t="s">
        <v>48</v>
      </c>
      <c r="H28" s="22">
        <v>45397</v>
      </c>
      <c r="I28" s="19">
        <f>IF(F28="是",VLOOKUP(G28,[12]Sheet2!A:C,3,FALSE),VLOOKUP(G28,[12]Sheet2!A:B,2,FALSE))</f>
        <v>800</v>
      </c>
      <c r="J28" s="24" t="s">
        <v>20</v>
      </c>
      <c r="K28" s="20"/>
    </row>
    <row r="29" s="4" customFormat="1" ht="31" customHeight="1" spans="1:11">
      <c r="A29" s="19">
        <v>25</v>
      </c>
      <c r="B29" s="20" t="s">
        <v>14</v>
      </c>
      <c r="C29" s="20" t="s">
        <v>43</v>
      </c>
      <c r="D29" s="20" t="s">
        <v>49</v>
      </c>
      <c r="E29" s="21" t="s">
        <v>17</v>
      </c>
      <c r="F29" s="20" t="s">
        <v>18</v>
      </c>
      <c r="G29" s="20" t="s">
        <v>19</v>
      </c>
      <c r="H29" s="22">
        <v>45323</v>
      </c>
      <c r="I29" s="19">
        <f>IF(F29="是",VLOOKUP(G29,[9]Sheet2!A:C,3,FALSE),VLOOKUP(G29,[9]Sheet2!A:B,2,FALSE))</f>
        <v>600</v>
      </c>
      <c r="J29" s="24" t="s">
        <v>20</v>
      </c>
      <c r="K29" s="20"/>
    </row>
    <row r="30" s="4" customFormat="1" ht="31" customHeight="1" spans="1:11">
      <c r="A30" s="19">
        <v>26</v>
      </c>
      <c r="B30" s="20" t="s">
        <v>14</v>
      </c>
      <c r="C30" s="20" t="s">
        <v>43</v>
      </c>
      <c r="D30" s="20" t="s">
        <v>50</v>
      </c>
      <c r="E30" s="21" t="s">
        <v>17</v>
      </c>
      <c r="F30" s="20" t="s">
        <v>18</v>
      </c>
      <c r="G30" s="20" t="s">
        <v>19</v>
      </c>
      <c r="H30" s="22">
        <v>45323</v>
      </c>
      <c r="I30" s="19">
        <f>IF(F30="是",VLOOKUP(G30,[9]Sheet2!A:C,3,FALSE),VLOOKUP(G30,[9]Sheet2!A:B,2,FALSE))</f>
        <v>600</v>
      </c>
      <c r="J30" s="24" t="s">
        <v>20</v>
      </c>
      <c r="K30" s="20"/>
    </row>
    <row r="31" s="4" customFormat="1" ht="31" customHeight="1" spans="1:11">
      <c r="A31" s="19">
        <v>27</v>
      </c>
      <c r="B31" s="20" t="s">
        <v>14</v>
      </c>
      <c r="C31" s="20" t="s">
        <v>43</v>
      </c>
      <c r="D31" s="20" t="s">
        <v>51</v>
      </c>
      <c r="E31" s="21" t="s">
        <v>17</v>
      </c>
      <c r="F31" s="20" t="s">
        <v>18</v>
      </c>
      <c r="G31" s="20" t="s">
        <v>19</v>
      </c>
      <c r="H31" s="22">
        <v>45456</v>
      </c>
      <c r="I31" s="19">
        <f>IF(F31="是",VLOOKUP(G31,[9]Sheet2!A:C,3,FALSE),VLOOKUP(G31,[9]Sheet2!A:B,2,FALSE))</f>
        <v>600</v>
      </c>
      <c r="J31" s="24" t="s">
        <v>20</v>
      </c>
      <c r="K31" s="20"/>
    </row>
    <row r="32" s="4" customFormat="1" ht="31" customHeight="1" spans="1:11">
      <c r="A32" s="19">
        <v>28</v>
      </c>
      <c r="B32" s="20" t="s">
        <v>14</v>
      </c>
      <c r="C32" s="20" t="s">
        <v>43</v>
      </c>
      <c r="D32" s="20" t="s">
        <v>52</v>
      </c>
      <c r="E32" s="21" t="s">
        <v>17</v>
      </c>
      <c r="F32" s="20" t="s">
        <v>18</v>
      </c>
      <c r="G32" s="20" t="s">
        <v>19</v>
      </c>
      <c r="H32" s="22">
        <v>45323</v>
      </c>
      <c r="I32" s="19">
        <f>IF(F32="是",VLOOKUP(G32,[17]Sheet2!A:C,3,FALSE),VLOOKUP(G32,[17]Sheet2!A:B,2,FALSE))</f>
        <v>600</v>
      </c>
      <c r="J32" s="24" t="s">
        <v>20</v>
      </c>
      <c r="K32" s="20"/>
    </row>
    <row r="33" s="4" customFormat="1" ht="31" customHeight="1" spans="1:11">
      <c r="A33" s="19">
        <v>29</v>
      </c>
      <c r="B33" s="20" t="s">
        <v>14</v>
      </c>
      <c r="C33" s="20" t="s">
        <v>43</v>
      </c>
      <c r="D33" s="20" t="s">
        <v>53</v>
      </c>
      <c r="E33" s="21" t="s">
        <v>17</v>
      </c>
      <c r="F33" s="20" t="s">
        <v>18</v>
      </c>
      <c r="G33" s="20" t="s">
        <v>19</v>
      </c>
      <c r="H33" s="22">
        <v>45323</v>
      </c>
      <c r="I33" s="19">
        <v>600</v>
      </c>
      <c r="J33" s="24" t="s">
        <v>20</v>
      </c>
      <c r="K33" s="20"/>
    </row>
    <row r="34" s="4" customFormat="1" ht="31" customHeight="1" spans="1:11">
      <c r="A34" s="19">
        <v>30</v>
      </c>
      <c r="B34" s="20" t="s">
        <v>14</v>
      </c>
      <c r="C34" s="20" t="s">
        <v>43</v>
      </c>
      <c r="D34" s="20" t="s">
        <v>54</v>
      </c>
      <c r="E34" s="21" t="s">
        <v>17</v>
      </c>
      <c r="F34" s="20" t="s">
        <v>18</v>
      </c>
      <c r="G34" s="20" t="s">
        <v>55</v>
      </c>
      <c r="H34" s="22">
        <v>45413</v>
      </c>
      <c r="I34" s="19">
        <f>IF(F34="是",VLOOKUP(G34,[17]Sheet2!A:C,3,FALSE),VLOOKUP(G34,[17]Sheet2!A:B,2,FALSE))</f>
        <v>800</v>
      </c>
      <c r="J34" s="24" t="s">
        <v>20</v>
      </c>
      <c r="K34" s="20"/>
    </row>
    <row r="35" s="4" customFormat="1" ht="31" customHeight="1" spans="1:11">
      <c r="A35" s="19">
        <v>31</v>
      </c>
      <c r="B35" s="20" t="s">
        <v>14</v>
      </c>
      <c r="C35" s="20" t="s">
        <v>43</v>
      </c>
      <c r="D35" s="20" t="s">
        <v>56</v>
      </c>
      <c r="E35" s="21" t="s">
        <v>17</v>
      </c>
      <c r="F35" s="20" t="s">
        <v>18</v>
      </c>
      <c r="G35" s="20" t="s">
        <v>32</v>
      </c>
      <c r="H35" s="22">
        <v>45352</v>
      </c>
      <c r="I35" s="19">
        <f>IF(F35="是",VLOOKUP(G35,[9]Sheet2!A:C,3,FALSE),VLOOKUP(G35,[9]Sheet2!A:B,2,FALSE))</f>
        <v>800</v>
      </c>
      <c r="J35" s="24" t="s">
        <v>20</v>
      </c>
      <c r="K35" s="20"/>
    </row>
    <row r="36" s="4" customFormat="1" ht="31" customHeight="1" spans="1:11">
      <c r="A36" s="19">
        <v>32</v>
      </c>
      <c r="B36" s="20" t="s">
        <v>14</v>
      </c>
      <c r="C36" s="20" t="s">
        <v>43</v>
      </c>
      <c r="D36" s="20" t="s">
        <v>57</v>
      </c>
      <c r="E36" s="21" t="s">
        <v>17</v>
      </c>
      <c r="F36" s="20" t="s">
        <v>18</v>
      </c>
      <c r="G36" s="20" t="s">
        <v>19</v>
      </c>
      <c r="H36" s="23">
        <v>45323</v>
      </c>
      <c r="I36" s="19">
        <f>IF(F36="是",VLOOKUP(G36,[12]Sheet2!A:C,3,FALSE),VLOOKUP(G36,[12]Sheet2!A:B,2,FALSE))</f>
        <v>600</v>
      </c>
      <c r="J36" s="24" t="s">
        <v>20</v>
      </c>
      <c r="K36" s="20"/>
    </row>
    <row r="37" s="4" customFormat="1" ht="31" customHeight="1" spans="1:11">
      <c r="A37" s="19">
        <v>33</v>
      </c>
      <c r="B37" s="20" t="s">
        <v>14</v>
      </c>
      <c r="C37" s="20" t="s">
        <v>43</v>
      </c>
      <c r="D37" s="20" t="s">
        <v>58</v>
      </c>
      <c r="E37" s="21" t="s">
        <v>17</v>
      </c>
      <c r="F37" s="20" t="s">
        <v>18</v>
      </c>
      <c r="G37" s="20" t="s">
        <v>19</v>
      </c>
      <c r="H37" s="23">
        <v>45352</v>
      </c>
      <c r="I37" s="19">
        <v>600</v>
      </c>
      <c r="J37" s="24" t="s">
        <v>20</v>
      </c>
      <c r="K37" s="20"/>
    </row>
    <row r="38" s="4" customFormat="1" ht="31" customHeight="1" spans="1:11">
      <c r="A38" s="19">
        <v>34</v>
      </c>
      <c r="B38" s="20" t="s">
        <v>14</v>
      </c>
      <c r="C38" s="20" t="s">
        <v>43</v>
      </c>
      <c r="D38" s="20" t="s">
        <v>59</v>
      </c>
      <c r="E38" s="21" t="s">
        <v>17</v>
      </c>
      <c r="F38" s="20" t="s">
        <v>18</v>
      </c>
      <c r="G38" s="20" t="s">
        <v>19</v>
      </c>
      <c r="H38" s="23">
        <v>45352</v>
      </c>
      <c r="I38" s="19">
        <v>600</v>
      </c>
      <c r="J38" s="24" t="s">
        <v>20</v>
      </c>
      <c r="K38" s="20"/>
    </row>
    <row r="39" s="4" customFormat="1" ht="31" customHeight="1" spans="1:11">
      <c r="A39" s="19">
        <v>35</v>
      </c>
      <c r="B39" s="20" t="s">
        <v>14</v>
      </c>
      <c r="C39" s="21" t="s">
        <v>43</v>
      </c>
      <c r="D39" s="21" t="s">
        <v>60</v>
      </c>
      <c r="E39" s="21" t="s">
        <v>17</v>
      </c>
      <c r="F39" s="21" t="s">
        <v>18</v>
      </c>
      <c r="G39" s="21" t="s">
        <v>19</v>
      </c>
      <c r="H39" s="23">
        <v>45348</v>
      </c>
      <c r="I39" s="19">
        <v>600</v>
      </c>
      <c r="J39" s="24" t="s">
        <v>20</v>
      </c>
      <c r="K39" s="20"/>
    </row>
    <row r="40" s="4" customFormat="1" ht="31" customHeight="1" spans="1:11">
      <c r="A40" s="19">
        <v>36</v>
      </c>
      <c r="B40" s="20" t="s">
        <v>14</v>
      </c>
      <c r="C40" s="21" t="s">
        <v>43</v>
      </c>
      <c r="D40" s="20" t="s">
        <v>61</v>
      </c>
      <c r="E40" s="21" t="s">
        <v>17</v>
      </c>
      <c r="F40" s="20" t="s">
        <v>18</v>
      </c>
      <c r="G40" s="20" t="s">
        <v>19</v>
      </c>
      <c r="H40" s="23">
        <v>45348</v>
      </c>
      <c r="I40" s="19">
        <f>IF(F40="是",VLOOKUP(G40,[12]Sheet2!A:C,3,FALSE),VLOOKUP(G40,[12]Sheet2!A:B,2,FALSE))</f>
        <v>600</v>
      </c>
      <c r="J40" s="24" t="s">
        <v>20</v>
      </c>
      <c r="K40" s="20"/>
    </row>
    <row r="41" s="4" customFormat="1" ht="31" customHeight="1" spans="1:11">
      <c r="A41" s="19">
        <v>37</v>
      </c>
      <c r="B41" s="20" t="s">
        <v>14</v>
      </c>
      <c r="C41" s="20" t="s">
        <v>62</v>
      </c>
      <c r="D41" s="20" t="s">
        <v>63</v>
      </c>
      <c r="E41" s="21" t="s">
        <v>17</v>
      </c>
      <c r="F41" s="20" t="s">
        <v>18</v>
      </c>
      <c r="G41" s="20" t="s">
        <v>19</v>
      </c>
      <c r="H41" s="22">
        <v>45352</v>
      </c>
      <c r="I41" s="19">
        <f>IF(F41="是",VLOOKUP(G41,[25]Sheet2!A:C,3,FALSE),VLOOKUP(G41,[25]Sheet2!A:B,2,FALSE))</f>
        <v>600</v>
      </c>
      <c r="J41" s="24" t="s">
        <v>20</v>
      </c>
      <c r="K41" s="20"/>
    </row>
    <row r="42" s="4" customFormat="1" ht="31" customHeight="1" spans="1:11">
      <c r="A42" s="19">
        <v>38</v>
      </c>
      <c r="B42" s="20" t="s">
        <v>14</v>
      </c>
      <c r="C42" s="20" t="s">
        <v>62</v>
      </c>
      <c r="D42" s="20" t="s">
        <v>64</v>
      </c>
      <c r="E42" s="21" t="s">
        <v>17</v>
      </c>
      <c r="F42" s="20" t="s">
        <v>18</v>
      </c>
      <c r="G42" s="20" t="s">
        <v>19</v>
      </c>
      <c r="H42" s="22">
        <v>45352</v>
      </c>
      <c r="I42" s="19">
        <f>IF(F42="是",VLOOKUP(G42,[25]Sheet2!A:C,3,FALSE),VLOOKUP(G42,[25]Sheet2!A:B,2,FALSE))</f>
        <v>600</v>
      </c>
      <c r="J42" s="24" t="s">
        <v>20</v>
      </c>
      <c r="K42" s="20"/>
    </row>
    <row r="43" s="4" customFormat="1" ht="31" customHeight="1" spans="1:11">
      <c r="A43" s="19">
        <v>39</v>
      </c>
      <c r="B43" s="20" t="s">
        <v>14</v>
      </c>
      <c r="C43" s="20" t="s">
        <v>62</v>
      </c>
      <c r="D43" s="20" t="s">
        <v>65</v>
      </c>
      <c r="E43" s="21" t="s">
        <v>17</v>
      </c>
      <c r="F43" s="20" t="s">
        <v>18</v>
      </c>
      <c r="G43" s="20" t="s">
        <v>19</v>
      </c>
      <c r="H43" s="22">
        <v>45413</v>
      </c>
      <c r="I43" s="19">
        <f>IF(F43="是",VLOOKUP(G43,[25]Sheet2!A:C,3,FALSE),VLOOKUP(G43,[25]Sheet2!A:B,2,FALSE))</f>
        <v>600</v>
      </c>
      <c r="J43" s="24" t="s">
        <v>20</v>
      </c>
      <c r="K43" s="20"/>
    </row>
    <row r="44" s="4" customFormat="1" ht="31" customHeight="1" spans="1:11">
      <c r="A44" s="19">
        <v>40</v>
      </c>
      <c r="B44" s="20" t="s">
        <v>14</v>
      </c>
      <c r="C44" s="20" t="s">
        <v>66</v>
      </c>
      <c r="D44" s="20" t="s">
        <v>67</v>
      </c>
      <c r="E44" s="21" t="s">
        <v>17</v>
      </c>
      <c r="F44" s="20" t="s">
        <v>18</v>
      </c>
      <c r="G44" s="20" t="s">
        <v>19</v>
      </c>
      <c r="H44" s="23">
        <v>45338</v>
      </c>
      <c r="I44" s="19">
        <f>IF(F44="是",VLOOKUP(G44,[9]Sheet2!A:C,3,FALSE),VLOOKUP(G44,[9]Sheet2!A:B,2,FALSE))</f>
        <v>600</v>
      </c>
      <c r="J44" s="24" t="s">
        <v>20</v>
      </c>
      <c r="K44" s="20"/>
    </row>
    <row r="45" s="4" customFormat="1" ht="31" customHeight="1" spans="1:11">
      <c r="A45" s="19">
        <v>41</v>
      </c>
      <c r="B45" s="20" t="s">
        <v>14</v>
      </c>
      <c r="C45" s="20" t="s">
        <v>66</v>
      </c>
      <c r="D45" s="20" t="s">
        <v>68</v>
      </c>
      <c r="E45" s="21" t="s">
        <v>17</v>
      </c>
      <c r="F45" s="20" t="s">
        <v>18</v>
      </c>
      <c r="G45" s="20" t="s">
        <v>69</v>
      </c>
      <c r="H45" s="23">
        <v>45461</v>
      </c>
      <c r="I45" s="19">
        <f>IF(F45="是",VLOOKUP(G45,[9]Sheet2!A:C,3,FALSE),VLOOKUP(G45,[9]Sheet2!A:B,2,FALSE))</f>
        <v>800</v>
      </c>
      <c r="J45" s="24" t="s">
        <v>20</v>
      </c>
      <c r="K45" s="20"/>
    </row>
    <row r="46" s="4" customFormat="1" ht="31" customHeight="1" spans="1:11">
      <c r="A46" s="19">
        <v>42</v>
      </c>
      <c r="B46" s="20" t="s">
        <v>14</v>
      </c>
      <c r="C46" s="20" t="s">
        <v>66</v>
      </c>
      <c r="D46" s="20" t="s">
        <v>70</v>
      </c>
      <c r="E46" s="21" t="s">
        <v>17</v>
      </c>
      <c r="F46" s="20" t="s">
        <v>18</v>
      </c>
      <c r="G46" s="20" t="s">
        <v>19</v>
      </c>
      <c r="H46" s="22">
        <v>45323</v>
      </c>
      <c r="I46" s="19">
        <f>IF(F46="是",VLOOKUP(G46,[12]Sheet2!A:C,3,FALSE),VLOOKUP(G46,[12]Sheet2!A:B,2,FALSE))</f>
        <v>600</v>
      </c>
      <c r="J46" s="24" t="s">
        <v>20</v>
      </c>
      <c r="K46" s="20"/>
    </row>
    <row r="47" s="4" customFormat="1" ht="31" customHeight="1" spans="1:11">
      <c r="A47" s="19">
        <v>43</v>
      </c>
      <c r="B47" s="20" t="s">
        <v>14</v>
      </c>
      <c r="C47" s="20" t="s">
        <v>66</v>
      </c>
      <c r="D47" s="20" t="s">
        <v>71</v>
      </c>
      <c r="E47" s="21" t="s">
        <v>17</v>
      </c>
      <c r="F47" s="20" t="s">
        <v>18</v>
      </c>
      <c r="G47" s="20" t="s">
        <v>32</v>
      </c>
      <c r="H47" s="22">
        <v>45323</v>
      </c>
      <c r="I47" s="19">
        <f>IF(F47="是",VLOOKUP(G47,[22]Sheet2!A:C,3,FALSE),VLOOKUP(G47,[22]Sheet2!A:B,2,FALSE))</f>
        <v>800</v>
      </c>
      <c r="J47" s="24" t="s">
        <v>20</v>
      </c>
      <c r="K47" s="20"/>
    </row>
    <row r="48" s="4" customFormat="1" ht="31" customHeight="1" spans="1:11">
      <c r="A48" s="19">
        <v>44</v>
      </c>
      <c r="B48" s="20" t="s">
        <v>14</v>
      </c>
      <c r="C48" s="20" t="s">
        <v>66</v>
      </c>
      <c r="D48" s="20" t="s">
        <v>72</v>
      </c>
      <c r="E48" s="21" t="s">
        <v>17</v>
      </c>
      <c r="F48" s="20" t="s">
        <v>18</v>
      </c>
      <c r="G48" s="20" t="s">
        <v>32</v>
      </c>
      <c r="H48" s="22">
        <v>45323</v>
      </c>
      <c r="I48" s="19">
        <f>IF(F48="是",VLOOKUP(G48,[22]Sheet2!A:C,3,FALSE),VLOOKUP(G48,[22]Sheet2!A:B,2,FALSE))</f>
        <v>800</v>
      </c>
      <c r="J48" s="24" t="s">
        <v>20</v>
      </c>
      <c r="K48" s="20"/>
    </row>
    <row r="49" s="4" customFormat="1" ht="31" customHeight="1" spans="1:11">
      <c r="A49" s="19">
        <v>45</v>
      </c>
      <c r="B49" s="20" t="s">
        <v>14</v>
      </c>
      <c r="C49" s="20" t="s">
        <v>66</v>
      </c>
      <c r="D49" s="20" t="s">
        <v>73</v>
      </c>
      <c r="E49" s="21" t="s">
        <v>17</v>
      </c>
      <c r="F49" s="20" t="s">
        <v>18</v>
      </c>
      <c r="G49" s="20" t="s">
        <v>19</v>
      </c>
      <c r="H49" s="22">
        <v>45341</v>
      </c>
      <c r="I49" s="19">
        <f>IF(F49="是",VLOOKUP(G49,[12]Sheet2!A:C,3,FALSE),VLOOKUP(G49,[12]Sheet2!A:B,2,FALSE))</f>
        <v>600</v>
      </c>
      <c r="J49" s="24" t="s">
        <v>20</v>
      </c>
      <c r="K49" s="20"/>
    </row>
    <row r="50" s="4" customFormat="1" ht="31" customHeight="1" spans="1:11">
      <c r="A50" s="19">
        <v>46</v>
      </c>
      <c r="B50" s="20" t="s">
        <v>14</v>
      </c>
      <c r="C50" s="20" t="s">
        <v>66</v>
      </c>
      <c r="D50" s="20" t="s">
        <v>74</v>
      </c>
      <c r="E50" s="21" t="s">
        <v>17</v>
      </c>
      <c r="F50" s="20" t="s">
        <v>18</v>
      </c>
      <c r="G50" s="20" t="s">
        <v>19</v>
      </c>
      <c r="H50" s="22">
        <v>45413</v>
      </c>
      <c r="I50" s="19">
        <f>IF(F50="是",VLOOKUP(G50,[1]Sheet2!A:C,3,FALSE),VLOOKUP(G50,[1]Sheet2!A:B,2,FALSE))</f>
        <v>600</v>
      </c>
      <c r="J50" s="24" t="s">
        <v>20</v>
      </c>
      <c r="K50" s="20"/>
    </row>
    <row r="51" s="4" customFormat="1" ht="31" customHeight="1" spans="1:11">
      <c r="A51" s="19">
        <v>47</v>
      </c>
      <c r="B51" s="20" t="s">
        <v>14</v>
      </c>
      <c r="C51" s="20" t="s">
        <v>66</v>
      </c>
      <c r="D51" s="20" t="s">
        <v>75</v>
      </c>
      <c r="E51" s="21" t="s">
        <v>17</v>
      </c>
      <c r="F51" s="20" t="s">
        <v>18</v>
      </c>
      <c r="G51" s="20" t="s">
        <v>32</v>
      </c>
      <c r="H51" s="22">
        <v>45323</v>
      </c>
      <c r="I51" s="19">
        <f>IF(F51="是",VLOOKUP(G51,[1]Sheet2!A:C,3,FALSE),VLOOKUP(G51,[1]Sheet2!A:B,2,FALSE))</f>
        <v>800</v>
      </c>
      <c r="J51" s="24" t="s">
        <v>20</v>
      </c>
      <c r="K51" s="20"/>
    </row>
    <row r="52" s="4" customFormat="1" ht="31" customHeight="1" spans="1:11">
      <c r="A52" s="19">
        <v>48</v>
      </c>
      <c r="B52" s="20" t="s">
        <v>14</v>
      </c>
      <c r="C52" s="20" t="s">
        <v>66</v>
      </c>
      <c r="D52" s="20" t="s">
        <v>76</v>
      </c>
      <c r="E52" s="21" t="s">
        <v>17</v>
      </c>
      <c r="F52" s="20" t="s">
        <v>18</v>
      </c>
      <c r="G52" s="20" t="s">
        <v>19</v>
      </c>
      <c r="H52" s="22">
        <v>45300</v>
      </c>
      <c r="I52" s="19">
        <f>IF(F52="是",VLOOKUP(G52,[9]Sheet2!A:C,3,FALSE),VLOOKUP(G52,[9]Sheet2!A:B,2,FALSE))</f>
        <v>600</v>
      </c>
      <c r="J52" s="24" t="s">
        <v>20</v>
      </c>
      <c r="K52" s="20"/>
    </row>
    <row r="53" s="4" customFormat="1" ht="31" customHeight="1" spans="1:11">
      <c r="A53" s="19">
        <v>49</v>
      </c>
      <c r="B53" s="20" t="s">
        <v>14</v>
      </c>
      <c r="C53" s="20" t="s">
        <v>66</v>
      </c>
      <c r="D53" s="20" t="s">
        <v>77</v>
      </c>
      <c r="E53" s="21" t="s">
        <v>17</v>
      </c>
      <c r="F53" s="20" t="s">
        <v>18</v>
      </c>
      <c r="G53" s="20" t="s">
        <v>78</v>
      </c>
      <c r="H53" s="22">
        <v>45323</v>
      </c>
      <c r="I53" s="19">
        <f>IF(F53="是",VLOOKUP(G53,[9]Sheet2!A:C,3,FALSE),VLOOKUP(G53,[9]Sheet2!A:B,2,FALSE))</f>
        <v>800</v>
      </c>
      <c r="J53" s="24" t="s">
        <v>20</v>
      </c>
      <c r="K53" s="20"/>
    </row>
    <row r="54" s="4" customFormat="1" ht="31" customHeight="1" spans="1:11">
      <c r="A54" s="19">
        <v>50</v>
      </c>
      <c r="B54" s="20" t="s">
        <v>14</v>
      </c>
      <c r="C54" s="20" t="s">
        <v>66</v>
      </c>
      <c r="D54" s="20" t="s">
        <v>79</v>
      </c>
      <c r="E54" s="21" t="s">
        <v>17</v>
      </c>
      <c r="F54" s="20" t="s">
        <v>18</v>
      </c>
      <c r="G54" s="20" t="s">
        <v>19</v>
      </c>
      <c r="H54" s="22">
        <v>45347</v>
      </c>
      <c r="I54" s="19">
        <v>600</v>
      </c>
      <c r="J54" s="24" t="s">
        <v>20</v>
      </c>
      <c r="K54" s="20"/>
    </row>
    <row r="55" s="4" customFormat="1" ht="31" customHeight="1" spans="1:11">
      <c r="A55" s="19">
        <v>51</v>
      </c>
      <c r="B55" s="20" t="s">
        <v>14</v>
      </c>
      <c r="C55" s="20" t="s">
        <v>66</v>
      </c>
      <c r="D55" s="20" t="s">
        <v>80</v>
      </c>
      <c r="E55" s="21" t="s">
        <v>17</v>
      </c>
      <c r="F55" s="20" t="s">
        <v>18</v>
      </c>
      <c r="G55" s="20" t="s">
        <v>19</v>
      </c>
      <c r="H55" s="22">
        <v>45335</v>
      </c>
      <c r="I55" s="19">
        <v>600</v>
      </c>
      <c r="J55" s="24" t="s">
        <v>20</v>
      </c>
      <c r="K55" s="20"/>
    </row>
    <row r="56" s="4" customFormat="1" ht="31" customHeight="1" spans="1:11">
      <c r="A56" s="19">
        <v>52</v>
      </c>
      <c r="B56" s="20" t="s">
        <v>14</v>
      </c>
      <c r="C56" s="20" t="s">
        <v>66</v>
      </c>
      <c r="D56" s="20" t="s">
        <v>81</v>
      </c>
      <c r="E56" s="21" t="s">
        <v>17</v>
      </c>
      <c r="F56" s="20" t="s">
        <v>82</v>
      </c>
      <c r="G56" s="20" t="s">
        <v>19</v>
      </c>
      <c r="H56" s="22">
        <v>45413</v>
      </c>
      <c r="I56" s="19">
        <v>300</v>
      </c>
      <c r="J56" s="24" t="s">
        <v>20</v>
      </c>
      <c r="K56" s="20"/>
    </row>
    <row r="57" s="4" customFormat="1" ht="31" customHeight="1" spans="1:11">
      <c r="A57" s="19">
        <v>53</v>
      </c>
      <c r="B57" s="20" t="s">
        <v>14</v>
      </c>
      <c r="C57" s="20" t="s">
        <v>66</v>
      </c>
      <c r="D57" s="20" t="s">
        <v>83</v>
      </c>
      <c r="E57" s="21" t="s">
        <v>17</v>
      </c>
      <c r="F57" s="20" t="s">
        <v>18</v>
      </c>
      <c r="G57" s="20" t="s">
        <v>19</v>
      </c>
      <c r="H57" s="22">
        <v>45292</v>
      </c>
      <c r="I57" s="19">
        <f>IF(F57="是",VLOOKUP(G57,[9]Sheet2!A:C,3,FALSE),VLOOKUP(G57,[9]Sheet2!A:B,2,FALSE))</f>
        <v>600</v>
      </c>
      <c r="J57" s="24" t="s">
        <v>20</v>
      </c>
      <c r="K57" s="20"/>
    </row>
    <row r="58" s="4" customFormat="1" ht="31" customHeight="1" spans="1:11">
      <c r="A58" s="19">
        <v>54</v>
      </c>
      <c r="B58" s="20" t="s">
        <v>14</v>
      </c>
      <c r="C58" s="20" t="s">
        <v>66</v>
      </c>
      <c r="D58" s="20" t="s">
        <v>84</v>
      </c>
      <c r="E58" s="21" t="s">
        <v>17</v>
      </c>
      <c r="F58" s="20" t="s">
        <v>18</v>
      </c>
      <c r="G58" s="20" t="s">
        <v>32</v>
      </c>
      <c r="H58" s="22">
        <v>45292</v>
      </c>
      <c r="I58" s="19">
        <f>IF(F58="是",VLOOKUP(G58,[9]Sheet2!A:C,3,FALSE),VLOOKUP(G58,[9]Sheet2!A:B,2,FALSE))</f>
        <v>800</v>
      </c>
      <c r="J58" s="24" t="s">
        <v>20</v>
      </c>
      <c r="K58" s="20"/>
    </row>
    <row r="59" s="4" customFormat="1" ht="31" customHeight="1" spans="1:11">
      <c r="A59" s="19">
        <v>55</v>
      </c>
      <c r="B59" s="20" t="s">
        <v>14</v>
      </c>
      <c r="C59" s="20" t="s">
        <v>66</v>
      </c>
      <c r="D59" s="20" t="s">
        <v>85</v>
      </c>
      <c r="E59" s="21" t="s">
        <v>17</v>
      </c>
      <c r="F59" s="20" t="s">
        <v>18</v>
      </c>
      <c r="G59" s="20" t="s">
        <v>55</v>
      </c>
      <c r="H59" s="22">
        <v>45323</v>
      </c>
      <c r="I59" s="19">
        <f>IF(F59="是",VLOOKUP(G59,[9]Sheet2!A:C,3,FALSE),VLOOKUP(G59,[9]Sheet2!A:B,2,FALSE))</f>
        <v>800</v>
      </c>
      <c r="J59" s="24" t="s">
        <v>20</v>
      </c>
      <c r="K59" s="20"/>
    </row>
    <row r="60" s="6" customFormat="1" ht="31" customHeight="1" spans="1:11">
      <c r="A60" s="19">
        <v>56</v>
      </c>
      <c r="B60" s="20" t="s">
        <v>14</v>
      </c>
      <c r="C60" s="20" t="s">
        <v>66</v>
      </c>
      <c r="D60" s="20" t="s">
        <v>86</v>
      </c>
      <c r="E60" s="21" t="s">
        <v>17</v>
      </c>
      <c r="F60" s="20" t="s">
        <v>18</v>
      </c>
      <c r="G60" s="20" t="s">
        <v>19</v>
      </c>
      <c r="H60" s="22">
        <v>45323</v>
      </c>
      <c r="I60" s="19">
        <f>IF(F60="是",VLOOKUP(G60,[9]Sheet2!A:C,3,FALSE),VLOOKUP(G60,[9]Sheet2!A:B,2,FALSE))</f>
        <v>600</v>
      </c>
      <c r="J60" s="24" t="s">
        <v>20</v>
      </c>
      <c r="K60" s="25"/>
    </row>
    <row r="61" s="6" customFormat="1" ht="31" customHeight="1" spans="1:11">
      <c r="A61" s="19">
        <v>57</v>
      </c>
      <c r="B61" s="20" t="s">
        <v>14</v>
      </c>
      <c r="C61" s="20" t="s">
        <v>66</v>
      </c>
      <c r="D61" s="20" t="s">
        <v>87</v>
      </c>
      <c r="E61" s="21" t="s">
        <v>17</v>
      </c>
      <c r="F61" s="20" t="s">
        <v>18</v>
      </c>
      <c r="G61" s="20" t="s">
        <v>19</v>
      </c>
      <c r="H61" s="22">
        <v>45323</v>
      </c>
      <c r="I61" s="19">
        <f>IF(F61="是",VLOOKUP(G61,[9]Sheet2!A:C,3,FALSE),VLOOKUP(G61,[9]Sheet2!A:B,2,FALSE))</f>
        <v>600</v>
      </c>
      <c r="J61" s="24" t="s">
        <v>20</v>
      </c>
      <c r="K61" s="25"/>
    </row>
    <row r="62" s="6" customFormat="1" ht="31" customHeight="1" spans="1:11">
      <c r="A62" s="19">
        <v>58</v>
      </c>
      <c r="B62" s="20" t="s">
        <v>14</v>
      </c>
      <c r="C62" s="20" t="s">
        <v>66</v>
      </c>
      <c r="D62" s="20" t="s">
        <v>88</v>
      </c>
      <c r="E62" s="21" t="s">
        <v>17</v>
      </c>
      <c r="F62" s="20" t="s">
        <v>18</v>
      </c>
      <c r="G62" s="21" t="s">
        <v>19</v>
      </c>
      <c r="H62" s="22">
        <v>45323</v>
      </c>
      <c r="I62" s="19">
        <f>IF(F62="是",VLOOKUP(G62,[17]Sheet2!A:C,3,FALSE),VLOOKUP(G62,[17]Sheet2!A:B,2,FALSE))</f>
        <v>600</v>
      </c>
      <c r="J62" s="24" t="s">
        <v>20</v>
      </c>
      <c r="K62" s="25"/>
    </row>
    <row r="63" s="6" customFormat="1" ht="31" customHeight="1" spans="1:11">
      <c r="A63" s="19">
        <v>59</v>
      </c>
      <c r="B63" s="20" t="s">
        <v>14</v>
      </c>
      <c r="C63" s="20" t="s">
        <v>66</v>
      </c>
      <c r="D63" s="20" t="s">
        <v>89</v>
      </c>
      <c r="E63" s="21" t="s">
        <v>17</v>
      </c>
      <c r="F63" s="20" t="s">
        <v>18</v>
      </c>
      <c r="G63" s="21" t="s">
        <v>19</v>
      </c>
      <c r="H63" s="22">
        <v>45323</v>
      </c>
      <c r="I63" s="19">
        <f>IF(F63="是",VLOOKUP(G63,[17]Sheet2!A:C,3,FALSE),VLOOKUP(G63,[17]Sheet2!A:B,2,FALSE))</f>
        <v>600</v>
      </c>
      <c r="J63" s="24" t="s">
        <v>20</v>
      </c>
      <c r="K63" s="25"/>
    </row>
    <row r="64" s="6" customFormat="1" ht="31" customHeight="1" spans="1:11">
      <c r="A64" s="19">
        <v>60</v>
      </c>
      <c r="B64" s="20" t="s">
        <v>14</v>
      </c>
      <c r="C64" s="20" t="s">
        <v>66</v>
      </c>
      <c r="D64" s="20" t="s">
        <v>90</v>
      </c>
      <c r="E64" s="21" t="s">
        <v>17</v>
      </c>
      <c r="F64" s="20" t="s">
        <v>18</v>
      </c>
      <c r="G64" s="20" t="s">
        <v>38</v>
      </c>
      <c r="H64" s="22">
        <v>45323</v>
      </c>
      <c r="I64" s="19">
        <f>IF(F64="是",VLOOKUP(G64,[9]Sheet2!A:C,3,FALSE),VLOOKUP(G64,[9]Sheet2!A:B,2,FALSE))</f>
        <v>600</v>
      </c>
      <c r="J64" s="24" t="s">
        <v>20</v>
      </c>
      <c r="K64" s="25"/>
    </row>
    <row r="65" s="6" customFormat="1" ht="31" customHeight="1" spans="1:11">
      <c r="A65" s="19">
        <v>61</v>
      </c>
      <c r="B65" s="20" t="s">
        <v>14</v>
      </c>
      <c r="C65" s="20" t="s">
        <v>66</v>
      </c>
      <c r="D65" s="20" t="s">
        <v>91</v>
      </c>
      <c r="E65" s="21" t="s">
        <v>17</v>
      </c>
      <c r="F65" s="20" t="s">
        <v>18</v>
      </c>
      <c r="G65" s="20" t="s">
        <v>19</v>
      </c>
      <c r="H65" s="22">
        <v>45383</v>
      </c>
      <c r="I65" s="19">
        <f>IF(F65="是",VLOOKUP(G65,[9]Sheet2!A:C,3,FALSE),VLOOKUP(G65,[9]Sheet2!A:B,2,FALSE))</f>
        <v>600</v>
      </c>
      <c r="J65" s="24" t="s">
        <v>20</v>
      </c>
      <c r="K65" s="25"/>
    </row>
    <row r="66" s="6" customFormat="1" ht="31" customHeight="1" spans="1:11">
      <c r="A66" s="19">
        <v>62</v>
      </c>
      <c r="B66" s="20" t="s">
        <v>14</v>
      </c>
      <c r="C66" s="20" t="s">
        <v>66</v>
      </c>
      <c r="D66" s="20" t="s">
        <v>92</v>
      </c>
      <c r="E66" s="21" t="s">
        <v>17</v>
      </c>
      <c r="F66" s="20" t="s">
        <v>18</v>
      </c>
      <c r="G66" s="20" t="s">
        <v>19</v>
      </c>
      <c r="H66" s="22">
        <v>45383</v>
      </c>
      <c r="I66" s="19">
        <f>IF(F66="是",VLOOKUP(G66,[9]Sheet2!A:C,3,FALSE),VLOOKUP(G66,[9]Sheet2!A:B,2,FALSE))</f>
        <v>600</v>
      </c>
      <c r="J66" s="24" t="s">
        <v>20</v>
      </c>
      <c r="K66" s="25"/>
    </row>
    <row r="67" s="6" customFormat="1" ht="31" customHeight="1" spans="1:11">
      <c r="A67" s="19">
        <v>63</v>
      </c>
      <c r="B67" s="20" t="s">
        <v>14</v>
      </c>
      <c r="C67" s="20" t="s">
        <v>66</v>
      </c>
      <c r="D67" s="20" t="s">
        <v>93</v>
      </c>
      <c r="E67" s="21" t="s">
        <v>17</v>
      </c>
      <c r="F67" s="20" t="s">
        <v>18</v>
      </c>
      <c r="G67" s="20" t="s">
        <v>19</v>
      </c>
      <c r="H67" s="22">
        <v>45352</v>
      </c>
      <c r="I67" s="19">
        <f>IF(F67="是",VLOOKUP(G67,[9]Sheet2!A:C,3,FALSE),VLOOKUP(G67,[9]Sheet2!A:B,2,FALSE))</f>
        <v>600</v>
      </c>
      <c r="J67" s="24" t="s">
        <v>20</v>
      </c>
      <c r="K67" s="25"/>
    </row>
    <row r="68" s="6" customFormat="1" ht="31" customHeight="1" spans="1:11">
      <c r="A68" s="19">
        <v>64</v>
      </c>
      <c r="B68" s="20" t="s">
        <v>14</v>
      </c>
      <c r="C68" s="20" t="s">
        <v>94</v>
      </c>
      <c r="D68" s="20" t="s">
        <v>95</v>
      </c>
      <c r="E68" s="21" t="s">
        <v>17</v>
      </c>
      <c r="F68" s="20" t="s">
        <v>18</v>
      </c>
      <c r="G68" s="20" t="s">
        <v>19</v>
      </c>
      <c r="H68" s="22">
        <v>45323</v>
      </c>
      <c r="I68" s="19">
        <v>600</v>
      </c>
      <c r="J68" s="24" t="s">
        <v>20</v>
      </c>
      <c r="K68" s="25"/>
    </row>
    <row r="69" s="6" customFormat="1" ht="31" customHeight="1" spans="1:11">
      <c r="A69" s="19">
        <v>65</v>
      </c>
      <c r="B69" s="20" t="s">
        <v>14</v>
      </c>
      <c r="C69" s="20" t="s">
        <v>94</v>
      </c>
      <c r="D69" s="20" t="s">
        <v>96</v>
      </c>
      <c r="E69" s="21" t="s">
        <v>17</v>
      </c>
      <c r="F69" s="20" t="s">
        <v>18</v>
      </c>
      <c r="G69" s="20" t="s">
        <v>19</v>
      </c>
      <c r="H69" s="22">
        <v>45323</v>
      </c>
      <c r="I69" s="19">
        <v>600</v>
      </c>
      <c r="J69" s="24" t="s">
        <v>20</v>
      </c>
      <c r="K69" s="25"/>
    </row>
    <row r="70" s="6" customFormat="1" ht="31" customHeight="1" spans="1:11">
      <c r="A70" s="19">
        <v>66</v>
      </c>
      <c r="B70" s="20" t="s">
        <v>14</v>
      </c>
      <c r="C70" s="20" t="s">
        <v>94</v>
      </c>
      <c r="D70" s="20" t="s">
        <v>97</v>
      </c>
      <c r="E70" s="21" t="s">
        <v>17</v>
      </c>
      <c r="F70" s="20" t="s">
        <v>18</v>
      </c>
      <c r="G70" s="20" t="s">
        <v>98</v>
      </c>
      <c r="H70" s="22">
        <v>45383</v>
      </c>
      <c r="I70" s="19">
        <f>IF(F70="是",VLOOKUP(G70,[9]Sheet2!A:C,3,FALSE),VLOOKUP(G70,[9]Sheet2!A:B,2,FALSE))</f>
        <v>800</v>
      </c>
      <c r="J70" s="24" t="s">
        <v>20</v>
      </c>
      <c r="K70" s="25"/>
    </row>
    <row r="71" s="6" customFormat="1" ht="31" customHeight="1" spans="1:11">
      <c r="A71" s="19">
        <v>67</v>
      </c>
      <c r="B71" s="20" t="s">
        <v>14</v>
      </c>
      <c r="C71" s="20" t="s">
        <v>99</v>
      </c>
      <c r="D71" s="20" t="s">
        <v>100</v>
      </c>
      <c r="E71" s="21" t="s">
        <v>17</v>
      </c>
      <c r="F71" s="20" t="s">
        <v>18</v>
      </c>
      <c r="G71" s="20" t="s">
        <v>19</v>
      </c>
      <c r="H71" s="22">
        <v>45323</v>
      </c>
      <c r="I71" s="19">
        <f>IF(F71="是",VLOOKUP(G71,[1]Sheet2!A:C,3,FALSE),VLOOKUP(G71,[1]Sheet2!A:B,2,FALSE))</f>
        <v>600</v>
      </c>
      <c r="J71" s="24" t="s">
        <v>20</v>
      </c>
      <c r="K71" s="25"/>
    </row>
    <row r="72" s="6" customFormat="1" ht="31" customHeight="1" spans="1:11">
      <c r="A72" s="19">
        <v>68</v>
      </c>
      <c r="B72" s="20" t="s">
        <v>14</v>
      </c>
      <c r="C72" s="20" t="s">
        <v>99</v>
      </c>
      <c r="D72" s="20" t="s">
        <v>101</v>
      </c>
      <c r="E72" s="21" t="s">
        <v>17</v>
      </c>
      <c r="F72" s="20" t="s">
        <v>18</v>
      </c>
      <c r="G72" s="20" t="s">
        <v>19</v>
      </c>
      <c r="H72" s="22">
        <v>45323</v>
      </c>
      <c r="I72" s="19">
        <v>600</v>
      </c>
      <c r="J72" s="24" t="s">
        <v>20</v>
      </c>
      <c r="K72" s="25"/>
    </row>
    <row r="73" s="6" customFormat="1" ht="31" customHeight="1" spans="1:11">
      <c r="A73" s="19">
        <v>69</v>
      </c>
      <c r="B73" s="20" t="s">
        <v>14</v>
      </c>
      <c r="C73" s="20" t="s">
        <v>99</v>
      </c>
      <c r="D73" s="20" t="s">
        <v>102</v>
      </c>
      <c r="E73" s="21" t="s">
        <v>17</v>
      </c>
      <c r="F73" s="20" t="s">
        <v>103</v>
      </c>
      <c r="G73" s="20" t="s">
        <v>69</v>
      </c>
      <c r="H73" s="22">
        <v>45413</v>
      </c>
      <c r="I73" s="19">
        <f>IF(F73="是",VLOOKUP(G73,[9]Sheet2!A:C,3,FALSE),VLOOKUP(G73,[9]Sheet2!A:B,2,FALSE))</f>
        <v>800</v>
      </c>
      <c r="J73" s="24" t="s">
        <v>20</v>
      </c>
      <c r="K73" s="25"/>
    </row>
    <row r="74" s="6" customFormat="1" ht="31" customHeight="1" spans="1:11">
      <c r="A74" s="19">
        <v>70</v>
      </c>
      <c r="B74" s="20" t="s">
        <v>14</v>
      </c>
      <c r="C74" s="20" t="s">
        <v>99</v>
      </c>
      <c r="D74" s="20" t="s">
        <v>104</v>
      </c>
      <c r="E74" s="21" t="s">
        <v>17</v>
      </c>
      <c r="F74" s="20" t="s">
        <v>82</v>
      </c>
      <c r="G74" s="20" t="s">
        <v>19</v>
      </c>
      <c r="H74" s="22">
        <v>45323</v>
      </c>
      <c r="I74" s="19">
        <f>IF(F74="是",VLOOKUP(G74,[9]Sheet2!A:C,3,FALSE),VLOOKUP(G74,[9]Sheet2!A:B,2,FALSE))</f>
        <v>300</v>
      </c>
      <c r="J74" s="24" t="s">
        <v>20</v>
      </c>
      <c r="K74" s="25"/>
    </row>
    <row r="75" s="6" customFormat="1" ht="31" customHeight="1" spans="1:11">
      <c r="A75" s="19">
        <v>71</v>
      </c>
      <c r="B75" s="20" t="s">
        <v>14</v>
      </c>
      <c r="C75" s="20" t="s">
        <v>99</v>
      </c>
      <c r="D75" s="20" t="s">
        <v>105</v>
      </c>
      <c r="E75" s="21" t="s">
        <v>17</v>
      </c>
      <c r="F75" s="20" t="s">
        <v>18</v>
      </c>
      <c r="G75" s="20" t="s">
        <v>19</v>
      </c>
      <c r="H75" s="22">
        <v>45323</v>
      </c>
      <c r="I75" s="19">
        <f>IF(F75="是",VLOOKUP(G75,[9]Sheet2!A:C,3,FALSE),VLOOKUP(G75,[9]Sheet2!A:B,2,FALSE))</f>
        <v>600</v>
      </c>
      <c r="J75" s="24" t="s">
        <v>20</v>
      </c>
      <c r="K75" s="25"/>
    </row>
    <row r="76" s="6" customFormat="1" ht="31" customHeight="1" spans="1:11">
      <c r="A76" s="19">
        <v>72</v>
      </c>
      <c r="B76" s="20" t="s">
        <v>14</v>
      </c>
      <c r="C76" s="20" t="s">
        <v>99</v>
      </c>
      <c r="D76" s="20" t="s">
        <v>106</v>
      </c>
      <c r="E76" s="21" t="s">
        <v>17</v>
      </c>
      <c r="F76" s="20" t="s">
        <v>18</v>
      </c>
      <c r="G76" s="20" t="s">
        <v>19</v>
      </c>
      <c r="H76" s="22">
        <v>45352</v>
      </c>
      <c r="I76" s="19">
        <f>IF(F76="是",VLOOKUP(G76,[26]Sheet2!A:C,3,FALSE),VLOOKUP(G76,[26]Sheet2!A:B,2,FALSE))</f>
        <v>600</v>
      </c>
      <c r="J76" s="24" t="s">
        <v>20</v>
      </c>
      <c r="K76" s="25"/>
    </row>
    <row r="77" s="6" customFormat="1" ht="31" customHeight="1" spans="1:11">
      <c r="A77" s="19">
        <v>73</v>
      </c>
      <c r="B77" s="20" t="s">
        <v>14</v>
      </c>
      <c r="C77" s="20" t="s">
        <v>99</v>
      </c>
      <c r="D77" s="20" t="s">
        <v>107</v>
      </c>
      <c r="E77" s="21" t="s">
        <v>17</v>
      </c>
      <c r="F77" s="20" t="s">
        <v>18</v>
      </c>
      <c r="G77" s="20" t="s">
        <v>19</v>
      </c>
      <c r="H77" s="22">
        <v>45474</v>
      </c>
      <c r="I77" s="19">
        <f>IF(F77="是",VLOOKUP(G77,[9]Sheet2!A:C,3,FALSE),VLOOKUP(G77,[9]Sheet2!A:B,2,FALSE))</f>
        <v>600</v>
      </c>
      <c r="J77" s="24" t="s">
        <v>20</v>
      </c>
      <c r="K77" s="25"/>
    </row>
    <row r="78" s="6" customFormat="1" ht="31" customHeight="1" spans="1:11">
      <c r="A78" s="19">
        <v>74</v>
      </c>
      <c r="B78" s="20" t="s">
        <v>14</v>
      </c>
      <c r="C78" s="20" t="s">
        <v>99</v>
      </c>
      <c r="D78" s="20" t="s">
        <v>108</v>
      </c>
      <c r="E78" s="21" t="s">
        <v>17</v>
      </c>
      <c r="F78" s="20" t="s">
        <v>18</v>
      </c>
      <c r="G78" s="20" t="s">
        <v>19</v>
      </c>
      <c r="H78" s="22">
        <v>45323</v>
      </c>
      <c r="I78" s="19">
        <f>IF(F78="是",VLOOKUP(G78,[9]Sheet2!A:C,3,FALSE),VLOOKUP(G78,[9]Sheet2!A:B,2,FALSE))</f>
        <v>600</v>
      </c>
      <c r="J78" s="24" t="s">
        <v>20</v>
      </c>
      <c r="K78" s="25"/>
    </row>
    <row r="79" s="6" customFormat="1" ht="31" customHeight="1" spans="1:11">
      <c r="A79" s="19">
        <v>75</v>
      </c>
      <c r="B79" s="20" t="s">
        <v>14</v>
      </c>
      <c r="C79" s="20" t="s">
        <v>99</v>
      </c>
      <c r="D79" s="20" t="s">
        <v>109</v>
      </c>
      <c r="E79" s="21" t="s">
        <v>17</v>
      </c>
      <c r="F79" s="20" t="s">
        <v>18</v>
      </c>
      <c r="G79" s="20" t="s">
        <v>32</v>
      </c>
      <c r="H79" s="22">
        <v>45295</v>
      </c>
      <c r="I79" s="19">
        <f>IF(F79="是",VLOOKUP(G79,[9]Sheet2!A:C,3,FALSE),VLOOKUP(G79,[9]Sheet2!A:B,2,FALSE))</f>
        <v>800</v>
      </c>
      <c r="J79" s="24" t="s">
        <v>20</v>
      </c>
      <c r="K79" s="25"/>
    </row>
    <row r="80" s="6" customFormat="1" ht="31" customHeight="1" spans="1:11">
      <c r="A80" s="19">
        <v>76</v>
      </c>
      <c r="B80" s="20" t="s">
        <v>14</v>
      </c>
      <c r="C80" s="20" t="s">
        <v>99</v>
      </c>
      <c r="D80" s="20" t="s">
        <v>110</v>
      </c>
      <c r="E80" s="21" t="s">
        <v>17</v>
      </c>
      <c r="F80" s="20" t="s">
        <v>18</v>
      </c>
      <c r="G80" s="20" t="s">
        <v>19</v>
      </c>
      <c r="H80" s="22">
        <v>45295</v>
      </c>
      <c r="I80" s="19">
        <f>IF(F80="是",VLOOKUP(G80,[9]Sheet2!A:C,3,FALSE),VLOOKUP(G80,[9]Sheet2!A:B,2,FALSE))</f>
        <v>600</v>
      </c>
      <c r="J80" s="24" t="s">
        <v>20</v>
      </c>
      <c r="K80" s="25"/>
    </row>
    <row r="81" s="6" customFormat="1" ht="31" customHeight="1" spans="1:11">
      <c r="A81" s="19">
        <v>77</v>
      </c>
      <c r="B81" s="20" t="s">
        <v>14</v>
      </c>
      <c r="C81" s="20" t="s">
        <v>99</v>
      </c>
      <c r="D81" s="20" t="s">
        <v>111</v>
      </c>
      <c r="E81" s="21" t="s">
        <v>17</v>
      </c>
      <c r="F81" s="21" t="s">
        <v>18</v>
      </c>
      <c r="G81" s="20" t="s">
        <v>19</v>
      </c>
      <c r="H81" s="23">
        <v>45348</v>
      </c>
      <c r="I81" s="19">
        <f>IF(F81="是",VLOOKUP(G81,[9]Sheet2!A:C,3,FALSE),VLOOKUP(G81,[9]Sheet2!A:B,2,FALSE))</f>
        <v>600</v>
      </c>
      <c r="J81" s="24" t="s">
        <v>20</v>
      </c>
      <c r="K81" s="25"/>
    </row>
    <row r="82" s="6" customFormat="1" ht="31" customHeight="1" spans="1:11">
      <c r="A82" s="19">
        <v>78</v>
      </c>
      <c r="B82" s="20" t="s">
        <v>14</v>
      </c>
      <c r="C82" s="20" t="s">
        <v>99</v>
      </c>
      <c r="D82" s="20" t="s">
        <v>112</v>
      </c>
      <c r="E82" s="21" t="s">
        <v>17</v>
      </c>
      <c r="F82" s="21" t="s">
        <v>18</v>
      </c>
      <c r="G82" s="20" t="s">
        <v>19</v>
      </c>
      <c r="H82" s="23">
        <v>45348</v>
      </c>
      <c r="I82" s="19">
        <f>IF(F82="是",VLOOKUP(G82,[9]Sheet2!A:C,3,FALSE),VLOOKUP(G82,[9]Sheet2!A:B,2,FALSE))</f>
        <v>600</v>
      </c>
      <c r="J82" s="24" t="s">
        <v>20</v>
      </c>
      <c r="K82" s="25"/>
    </row>
    <row r="83" s="6" customFormat="1" ht="31" customHeight="1" spans="1:11">
      <c r="A83" s="19">
        <v>79</v>
      </c>
      <c r="B83" s="20" t="s">
        <v>14</v>
      </c>
      <c r="C83" s="20" t="s">
        <v>113</v>
      </c>
      <c r="D83" s="20" t="s">
        <v>114</v>
      </c>
      <c r="E83" s="21" t="s">
        <v>17</v>
      </c>
      <c r="F83" s="20" t="s">
        <v>18</v>
      </c>
      <c r="G83" s="20" t="s">
        <v>19</v>
      </c>
      <c r="H83" s="22">
        <v>45323</v>
      </c>
      <c r="I83" s="19">
        <f>IF(F83="是",VLOOKUP(G83,[12]Sheet2!A:C,3,FALSE),VLOOKUP(G83,[12]Sheet2!A:B,2,FALSE))</f>
        <v>600</v>
      </c>
      <c r="J83" s="24" t="s">
        <v>20</v>
      </c>
      <c r="K83" s="25"/>
    </row>
    <row r="84" s="6" customFormat="1" ht="31" customHeight="1" spans="1:11">
      <c r="A84" s="19">
        <v>80</v>
      </c>
      <c r="B84" s="20" t="s">
        <v>14</v>
      </c>
      <c r="C84" s="20" t="s">
        <v>113</v>
      </c>
      <c r="D84" s="20" t="s">
        <v>115</v>
      </c>
      <c r="E84" s="21" t="s">
        <v>17</v>
      </c>
      <c r="F84" s="20" t="s">
        <v>18</v>
      </c>
      <c r="G84" s="20" t="s">
        <v>19</v>
      </c>
      <c r="H84" s="22">
        <v>45323</v>
      </c>
      <c r="I84" s="19">
        <f>IF(F84="是",VLOOKUP(G84,[12]Sheet2!A:C,3,FALSE),VLOOKUP(G84,[12]Sheet2!A:B,2,FALSE))</f>
        <v>600</v>
      </c>
      <c r="J84" s="24" t="s">
        <v>20</v>
      </c>
      <c r="K84" s="25"/>
    </row>
    <row r="85" s="6" customFormat="1" ht="31" customHeight="1" spans="1:11">
      <c r="A85" s="19">
        <v>81</v>
      </c>
      <c r="B85" s="20" t="s">
        <v>14</v>
      </c>
      <c r="C85" s="20" t="s">
        <v>113</v>
      </c>
      <c r="D85" s="20" t="s">
        <v>116</v>
      </c>
      <c r="E85" s="21" t="s">
        <v>17</v>
      </c>
      <c r="F85" s="20" t="s">
        <v>18</v>
      </c>
      <c r="G85" s="20" t="s">
        <v>38</v>
      </c>
      <c r="H85" s="22">
        <v>45323</v>
      </c>
      <c r="I85" s="19">
        <f>IF(F85="是",VLOOKUP(G85,[9]Sheet2!A:C,3,FALSE),VLOOKUP(G85,[9]Sheet2!A:B,2,FALSE))</f>
        <v>600</v>
      </c>
      <c r="J85" s="24" t="s">
        <v>20</v>
      </c>
      <c r="K85" s="25"/>
    </row>
    <row r="86" s="6" customFormat="1" ht="31" customHeight="1" spans="1:11">
      <c r="A86" s="19">
        <v>82</v>
      </c>
      <c r="B86" s="20" t="s">
        <v>14</v>
      </c>
      <c r="C86" s="20" t="s">
        <v>113</v>
      </c>
      <c r="D86" s="20" t="s">
        <v>117</v>
      </c>
      <c r="E86" s="21" t="s">
        <v>17</v>
      </c>
      <c r="F86" s="20" t="s">
        <v>18</v>
      </c>
      <c r="G86" s="20" t="s">
        <v>118</v>
      </c>
      <c r="H86" s="22">
        <v>45323</v>
      </c>
      <c r="I86" s="19">
        <f>IF(F86="是",VLOOKUP(G86,[9]Sheet2!A:C,3,FALSE),VLOOKUP(G86,[9]Sheet2!A:B,2,FALSE))</f>
        <v>800</v>
      </c>
      <c r="J86" s="24" t="s">
        <v>20</v>
      </c>
      <c r="K86" s="25"/>
    </row>
    <row r="87" s="6" customFormat="1" ht="31" customHeight="1" spans="1:11">
      <c r="A87" s="19">
        <v>83</v>
      </c>
      <c r="B87" s="20" t="s">
        <v>14</v>
      </c>
      <c r="C87" s="20" t="s">
        <v>113</v>
      </c>
      <c r="D87" s="20" t="s">
        <v>119</v>
      </c>
      <c r="E87" s="21" t="s">
        <v>17</v>
      </c>
      <c r="F87" s="20" t="s">
        <v>18</v>
      </c>
      <c r="G87" s="20" t="s">
        <v>19</v>
      </c>
      <c r="H87" s="22">
        <v>45323</v>
      </c>
      <c r="I87" s="19">
        <f>IF(F87="是",VLOOKUP(G87,[9]Sheet2!A:C,3,FALSE),VLOOKUP(G87,[9]Sheet2!A:B,2,FALSE))</f>
        <v>600</v>
      </c>
      <c r="J87" s="24" t="s">
        <v>20</v>
      </c>
      <c r="K87" s="25"/>
    </row>
    <row r="88" s="6" customFormat="1" ht="31" customHeight="1" spans="1:11">
      <c r="A88" s="19">
        <v>84</v>
      </c>
      <c r="B88" s="20" t="s">
        <v>14</v>
      </c>
      <c r="C88" s="20" t="s">
        <v>113</v>
      </c>
      <c r="D88" s="20" t="s">
        <v>120</v>
      </c>
      <c r="E88" s="21" t="s">
        <v>17</v>
      </c>
      <c r="F88" s="20" t="s">
        <v>18</v>
      </c>
      <c r="G88" s="20" t="s">
        <v>19</v>
      </c>
      <c r="H88" s="23">
        <v>45352</v>
      </c>
      <c r="I88" s="19">
        <f>IF(F88="是",VLOOKUP(G88,[12]Sheet2!A:C,3,FALSE),VLOOKUP(G88,[12]Sheet2!A:B,2,FALSE))</f>
        <v>600</v>
      </c>
      <c r="J88" s="24" t="s">
        <v>20</v>
      </c>
      <c r="K88" s="25"/>
    </row>
    <row r="89" s="6" customFormat="1" ht="31" customHeight="1" spans="1:11">
      <c r="A89" s="19">
        <v>85</v>
      </c>
      <c r="B89" s="20" t="s">
        <v>14</v>
      </c>
      <c r="C89" s="20" t="s">
        <v>113</v>
      </c>
      <c r="D89" s="20" t="s">
        <v>121</v>
      </c>
      <c r="E89" s="21" t="s">
        <v>17</v>
      </c>
      <c r="F89" s="20" t="s">
        <v>18</v>
      </c>
      <c r="G89" s="20" t="s">
        <v>19</v>
      </c>
      <c r="H89" s="23">
        <v>45348</v>
      </c>
      <c r="I89" s="19">
        <f>IF(F89="是",VLOOKUP(G89,[12]Sheet2!A:C,3,FALSE),VLOOKUP(G89,[12]Sheet2!A:B,2,FALSE))</f>
        <v>600</v>
      </c>
      <c r="J89" s="24" t="s">
        <v>20</v>
      </c>
      <c r="K89" s="25"/>
    </row>
    <row r="90" s="6" customFormat="1" ht="31" customHeight="1" spans="1:11">
      <c r="A90" s="19">
        <v>86</v>
      </c>
      <c r="B90" s="20" t="s">
        <v>14</v>
      </c>
      <c r="C90" s="20" t="s">
        <v>113</v>
      </c>
      <c r="D90" s="20" t="s">
        <v>122</v>
      </c>
      <c r="E90" s="21" t="s">
        <v>17</v>
      </c>
      <c r="F90" s="20" t="s">
        <v>18</v>
      </c>
      <c r="G90" s="20" t="s">
        <v>55</v>
      </c>
      <c r="H90" s="23">
        <v>45348</v>
      </c>
      <c r="I90" s="19">
        <f>IF(F90="是",VLOOKUP(G90,[12]Sheet2!A:C,3,FALSE),VLOOKUP(G90,[12]Sheet2!A:B,2,FALSE))</f>
        <v>800</v>
      </c>
      <c r="J90" s="24" t="s">
        <v>20</v>
      </c>
      <c r="K90" s="25"/>
    </row>
    <row r="91" s="6" customFormat="1" ht="31" customHeight="1" spans="1:11">
      <c r="A91" s="19">
        <v>87</v>
      </c>
      <c r="B91" s="20" t="s">
        <v>14</v>
      </c>
      <c r="C91" s="20" t="s">
        <v>113</v>
      </c>
      <c r="D91" s="20" t="s">
        <v>123</v>
      </c>
      <c r="E91" s="21" t="s">
        <v>17</v>
      </c>
      <c r="F91" s="20" t="s">
        <v>18</v>
      </c>
      <c r="G91" s="20" t="s">
        <v>19</v>
      </c>
      <c r="H91" s="23">
        <v>45348</v>
      </c>
      <c r="I91" s="19">
        <f>IF(F91="是",VLOOKUP(G91,[9]Sheet2!A:C,3,FALSE),VLOOKUP(G91,[9]Sheet2!A:B,2,FALSE))</f>
        <v>600</v>
      </c>
      <c r="J91" s="24" t="s">
        <v>20</v>
      </c>
      <c r="K91" s="25"/>
    </row>
    <row r="92" s="6" customFormat="1" ht="31" customHeight="1" spans="1:11">
      <c r="A92" s="19">
        <v>88</v>
      </c>
      <c r="B92" s="20" t="s">
        <v>14</v>
      </c>
      <c r="C92" s="20" t="s">
        <v>113</v>
      </c>
      <c r="D92" s="20" t="s">
        <v>124</v>
      </c>
      <c r="E92" s="21" t="s">
        <v>17</v>
      </c>
      <c r="F92" s="20" t="s">
        <v>18</v>
      </c>
      <c r="G92" s="20" t="s">
        <v>19</v>
      </c>
      <c r="H92" s="22">
        <v>45413</v>
      </c>
      <c r="I92" s="19">
        <f>IF(F92="是",VLOOKUP(G92,[9]Sheet2!A:C,3,FALSE),VLOOKUP(G92,[9]Sheet2!A:B,2,FALSE))</f>
        <v>600</v>
      </c>
      <c r="J92" s="24" t="s">
        <v>20</v>
      </c>
      <c r="K92" s="25"/>
    </row>
    <row r="93" s="6" customFormat="1" ht="31" customHeight="1" spans="1:11">
      <c r="A93" s="19">
        <v>89</v>
      </c>
      <c r="B93" s="20" t="s">
        <v>14</v>
      </c>
      <c r="C93" s="20" t="s">
        <v>113</v>
      </c>
      <c r="D93" s="20" t="s">
        <v>125</v>
      </c>
      <c r="E93" s="21" t="s">
        <v>17</v>
      </c>
      <c r="F93" s="20" t="s">
        <v>18</v>
      </c>
      <c r="G93" s="20" t="s">
        <v>19</v>
      </c>
      <c r="H93" s="22">
        <v>45413</v>
      </c>
      <c r="I93" s="19">
        <f>IF(F93="是",VLOOKUP(G93,[9]Sheet2!A:C,3,FALSE),VLOOKUP(G93,[9]Sheet2!A:B,2,FALSE))</f>
        <v>600</v>
      </c>
      <c r="J93" s="24" t="s">
        <v>20</v>
      </c>
      <c r="K93" s="25"/>
    </row>
    <row r="94" s="6" customFormat="1" ht="31" customHeight="1" spans="1:11">
      <c r="A94" s="19">
        <v>90</v>
      </c>
      <c r="B94" s="20" t="s">
        <v>14</v>
      </c>
      <c r="C94" s="20" t="s">
        <v>113</v>
      </c>
      <c r="D94" s="20" t="s">
        <v>126</v>
      </c>
      <c r="E94" s="21" t="s">
        <v>17</v>
      </c>
      <c r="F94" s="20" t="s">
        <v>18</v>
      </c>
      <c r="G94" s="20" t="s">
        <v>19</v>
      </c>
      <c r="H94" s="23">
        <v>45348</v>
      </c>
      <c r="I94" s="19">
        <f>IF(F94="是",VLOOKUP(G94,[12]Sheet2!A:C,3,FALSE),VLOOKUP(G94,[12]Sheet2!A:B,2,FALSE))</f>
        <v>600</v>
      </c>
      <c r="J94" s="24" t="s">
        <v>20</v>
      </c>
      <c r="K94" s="25"/>
    </row>
    <row r="95" s="6" customFormat="1" ht="31" customHeight="1" spans="1:11">
      <c r="A95" s="19">
        <v>91</v>
      </c>
      <c r="B95" s="20" t="s">
        <v>14</v>
      </c>
      <c r="C95" s="20" t="s">
        <v>127</v>
      </c>
      <c r="D95" s="20" t="s">
        <v>128</v>
      </c>
      <c r="E95" s="21" t="s">
        <v>17</v>
      </c>
      <c r="F95" s="20" t="s">
        <v>18</v>
      </c>
      <c r="G95" s="20" t="s">
        <v>19</v>
      </c>
      <c r="H95" s="22">
        <v>45323</v>
      </c>
      <c r="I95" s="19">
        <f>IF(F95="是",VLOOKUP(G95,[12]Sheet2!A:C,3,FALSE),VLOOKUP(G95,[12]Sheet2!A:B,2,FALSE))</f>
        <v>600</v>
      </c>
      <c r="J95" s="24" t="s">
        <v>20</v>
      </c>
      <c r="K95" s="25"/>
    </row>
    <row r="96" s="6" customFormat="1" ht="31" customHeight="1" spans="1:11">
      <c r="A96" s="19">
        <v>92</v>
      </c>
      <c r="B96" s="20" t="s">
        <v>14</v>
      </c>
      <c r="C96" s="20" t="s">
        <v>127</v>
      </c>
      <c r="D96" s="20" t="s">
        <v>129</v>
      </c>
      <c r="E96" s="21" t="s">
        <v>17</v>
      </c>
      <c r="F96" s="20" t="s">
        <v>18</v>
      </c>
      <c r="G96" s="20" t="s">
        <v>19</v>
      </c>
      <c r="H96" s="22">
        <v>45323</v>
      </c>
      <c r="I96" s="19">
        <f>IF(F96="是",VLOOKUP(G96,[12]Sheet2!A:C,3,FALSE),VLOOKUP(G96,[12]Sheet2!A:B,2,FALSE))</f>
        <v>600</v>
      </c>
      <c r="J96" s="24" t="s">
        <v>20</v>
      </c>
      <c r="K96" s="25"/>
    </row>
    <row r="97" s="6" customFormat="1" ht="31" customHeight="1" spans="1:11">
      <c r="A97" s="19">
        <v>93</v>
      </c>
      <c r="B97" s="20" t="s">
        <v>14</v>
      </c>
      <c r="C97" s="20" t="s">
        <v>127</v>
      </c>
      <c r="D97" s="20" t="s">
        <v>130</v>
      </c>
      <c r="E97" s="21" t="s">
        <v>17</v>
      </c>
      <c r="F97" s="20" t="s">
        <v>18</v>
      </c>
      <c r="G97" s="20" t="s">
        <v>19</v>
      </c>
      <c r="H97" s="22">
        <v>45323</v>
      </c>
      <c r="I97" s="19">
        <f>IF(F97="是",VLOOKUP(G97,[12]Sheet2!A:C,3,FALSE),VLOOKUP(G97,[12]Sheet2!A:B,2,FALSE))</f>
        <v>600</v>
      </c>
      <c r="J97" s="24" t="s">
        <v>20</v>
      </c>
      <c r="K97" s="25"/>
    </row>
    <row r="98" s="6" customFormat="1" ht="31" customHeight="1" spans="1:11">
      <c r="A98" s="19">
        <v>94</v>
      </c>
      <c r="B98" s="20" t="s">
        <v>14</v>
      </c>
      <c r="C98" s="20" t="s">
        <v>127</v>
      </c>
      <c r="D98" s="20" t="s">
        <v>131</v>
      </c>
      <c r="E98" s="21" t="s">
        <v>17</v>
      </c>
      <c r="F98" s="20" t="s">
        <v>18</v>
      </c>
      <c r="G98" s="20" t="s">
        <v>19</v>
      </c>
      <c r="H98" s="22">
        <v>45352</v>
      </c>
      <c r="I98" s="19">
        <f>IF(F98="是",VLOOKUP(G98,[9]Sheet2!A:C,3,FALSE),VLOOKUP(G98,[9]Sheet2!A:B,2,FALSE))</f>
        <v>600</v>
      </c>
      <c r="J98" s="24" t="s">
        <v>20</v>
      </c>
      <c r="K98" s="25"/>
    </row>
    <row r="99" s="6" customFormat="1" ht="31" customHeight="1" spans="1:11">
      <c r="A99" s="19">
        <v>95</v>
      </c>
      <c r="B99" s="20" t="s">
        <v>14</v>
      </c>
      <c r="C99" s="20" t="s">
        <v>127</v>
      </c>
      <c r="D99" s="20" t="s">
        <v>132</v>
      </c>
      <c r="E99" s="21" t="s">
        <v>17</v>
      </c>
      <c r="F99" s="20" t="s">
        <v>18</v>
      </c>
      <c r="G99" s="20" t="s">
        <v>19</v>
      </c>
      <c r="H99" s="22">
        <v>45352</v>
      </c>
      <c r="I99" s="19">
        <f>IF(F99="是",VLOOKUP(G99,[9]Sheet2!A:C,3,FALSE),VLOOKUP(G99,[9]Sheet2!A:B,2,FALSE))</f>
        <v>600</v>
      </c>
      <c r="J99" s="24" t="s">
        <v>20</v>
      </c>
      <c r="K99" s="25"/>
    </row>
    <row r="100" s="6" customFormat="1" ht="31" customHeight="1" spans="1:11">
      <c r="A100" s="19">
        <v>96</v>
      </c>
      <c r="B100" s="20" t="s">
        <v>14</v>
      </c>
      <c r="C100" s="20" t="s">
        <v>127</v>
      </c>
      <c r="D100" s="20" t="s">
        <v>133</v>
      </c>
      <c r="E100" s="21" t="s">
        <v>17</v>
      </c>
      <c r="F100" s="20" t="s">
        <v>18</v>
      </c>
      <c r="G100" s="20" t="s">
        <v>19</v>
      </c>
      <c r="H100" s="22">
        <v>45353</v>
      </c>
      <c r="I100" s="19">
        <f>IF(F100="是",VLOOKUP(G100,[9]Sheet2!A:C,3,FALSE),VLOOKUP(G100,[9]Sheet2!A:B,2,FALSE))</f>
        <v>600</v>
      </c>
      <c r="J100" s="24" t="s">
        <v>20</v>
      </c>
      <c r="K100" s="25"/>
    </row>
    <row r="101" s="6" customFormat="1" ht="31" customHeight="1" spans="1:11">
      <c r="A101" s="19">
        <v>97</v>
      </c>
      <c r="B101" s="20" t="s">
        <v>14</v>
      </c>
      <c r="C101" s="20" t="s">
        <v>127</v>
      </c>
      <c r="D101" s="20" t="s">
        <v>134</v>
      </c>
      <c r="E101" s="21" t="s">
        <v>17</v>
      </c>
      <c r="F101" s="20" t="s">
        <v>18</v>
      </c>
      <c r="G101" s="20" t="s">
        <v>32</v>
      </c>
      <c r="H101" s="22">
        <v>45323</v>
      </c>
      <c r="I101" s="19">
        <f>IF(F101="是",VLOOKUP(G101,[9]Sheet2!A:C,3,FALSE),VLOOKUP(G101,[9]Sheet2!A:B,2,FALSE))</f>
        <v>800</v>
      </c>
      <c r="J101" s="24" t="s">
        <v>20</v>
      </c>
      <c r="K101" s="25"/>
    </row>
    <row r="102" s="6" customFormat="1" ht="31" customHeight="1" spans="1:11">
      <c r="A102" s="19">
        <v>98</v>
      </c>
      <c r="B102" s="20" t="s">
        <v>14</v>
      </c>
      <c r="C102" s="20" t="s">
        <v>127</v>
      </c>
      <c r="D102" s="20" t="s">
        <v>135</v>
      </c>
      <c r="E102" s="21" t="s">
        <v>17</v>
      </c>
      <c r="F102" s="20" t="s">
        <v>18</v>
      </c>
      <c r="G102" s="20" t="s">
        <v>19</v>
      </c>
      <c r="H102" s="22">
        <v>45383</v>
      </c>
      <c r="I102" s="19">
        <f>IF(F102="是",VLOOKUP(G102,[9]Sheet2!A:C,3,FALSE),VLOOKUP(G102,[9]Sheet2!A:B,2,FALSE))</f>
        <v>600</v>
      </c>
      <c r="J102" s="24" t="s">
        <v>20</v>
      </c>
      <c r="K102" s="25"/>
    </row>
    <row r="103" s="6" customFormat="1" ht="31" customHeight="1" spans="1:11">
      <c r="A103" s="19">
        <v>99</v>
      </c>
      <c r="B103" s="20" t="s">
        <v>14</v>
      </c>
      <c r="C103" s="20" t="s">
        <v>127</v>
      </c>
      <c r="D103" s="20" t="s">
        <v>136</v>
      </c>
      <c r="E103" s="21" t="s">
        <v>17</v>
      </c>
      <c r="F103" s="20" t="s">
        <v>18</v>
      </c>
      <c r="G103" s="20" t="s">
        <v>19</v>
      </c>
      <c r="H103" s="22">
        <v>45353</v>
      </c>
      <c r="I103" s="19">
        <f>IF(F103="是",VLOOKUP(G103,[9]Sheet2!A:C,3,FALSE),VLOOKUP(G103,[9]Sheet2!A:B,2,FALSE))</f>
        <v>600</v>
      </c>
      <c r="J103" s="24" t="s">
        <v>20</v>
      </c>
      <c r="K103" s="25"/>
    </row>
    <row r="104" s="6" customFormat="1" ht="31" customHeight="1" spans="1:11">
      <c r="A104" s="19">
        <v>100</v>
      </c>
      <c r="B104" s="20" t="s">
        <v>14</v>
      </c>
      <c r="C104" s="20" t="s">
        <v>127</v>
      </c>
      <c r="D104" s="20" t="s">
        <v>137</v>
      </c>
      <c r="E104" s="21" t="s">
        <v>17</v>
      </c>
      <c r="F104" s="20" t="s">
        <v>18</v>
      </c>
      <c r="G104" s="20" t="s">
        <v>19</v>
      </c>
      <c r="H104" s="22">
        <v>45323</v>
      </c>
      <c r="I104" s="19">
        <f>IF(F104="是",VLOOKUP(G104,[9]Sheet2!A:C,3,FALSE),VLOOKUP(G104,[9]Sheet2!A:B,2,FALSE))</f>
        <v>600</v>
      </c>
      <c r="J104" s="24" t="s">
        <v>20</v>
      </c>
      <c r="K104" s="25"/>
    </row>
    <row r="105" s="6" customFormat="1" ht="31" customHeight="1" spans="1:11">
      <c r="A105" s="19">
        <v>101</v>
      </c>
      <c r="B105" s="20" t="s">
        <v>14</v>
      </c>
      <c r="C105" s="20" t="s">
        <v>127</v>
      </c>
      <c r="D105" s="20" t="s">
        <v>138</v>
      </c>
      <c r="E105" s="21" t="s">
        <v>17</v>
      </c>
      <c r="F105" s="20" t="s">
        <v>18</v>
      </c>
      <c r="G105" s="20" t="s">
        <v>19</v>
      </c>
      <c r="H105" s="22">
        <v>45323</v>
      </c>
      <c r="I105" s="19">
        <f>IF(F105="是",VLOOKUP(G105,[9]Sheet2!A:C,3,FALSE),VLOOKUP(G105,[9]Sheet2!A:B,2,FALSE))</f>
        <v>600</v>
      </c>
      <c r="J105" s="24" t="s">
        <v>20</v>
      </c>
      <c r="K105" s="25"/>
    </row>
    <row r="106" s="6" customFormat="1" ht="31" customHeight="1" spans="1:11">
      <c r="A106" s="19">
        <v>102</v>
      </c>
      <c r="B106" s="20" t="s">
        <v>14</v>
      </c>
      <c r="C106" s="20" t="s">
        <v>127</v>
      </c>
      <c r="D106" s="20" t="s">
        <v>139</v>
      </c>
      <c r="E106" s="21" t="s">
        <v>17</v>
      </c>
      <c r="F106" s="20" t="s">
        <v>18</v>
      </c>
      <c r="G106" s="20" t="s">
        <v>19</v>
      </c>
      <c r="H106" s="22">
        <v>45505</v>
      </c>
      <c r="I106" s="19">
        <f>IF(F106="是",VLOOKUP(G106,[9]Sheet2!A:C,3,FALSE),VLOOKUP(G106,[9]Sheet2!A:B,2,FALSE))</f>
        <v>600</v>
      </c>
      <c r="J106" s="24" t="s">
        <v>20</v>
      </c>
      <c r="K106" s="25"/>
    </row>
    <row r="107" s="6" customFormat="1" ht="31" customHeight="1" spans="1:11">
      <c r="A107" s="19">
        <v>103</v>
      </c>
      <c r="B107" s="20" t="s">
        <v>14</v>
      </c>
      <c r="C107" s="20" t="s">
        <v>127</v>
      </c>
      <c r="D107" s="20" t="s">
        <v>140</v>
      </c>
      <c r="E107" s="21" t="s">
        <v>17</v>
      </c>
      <c r="F107" s="20" t="s">
        <v>18</v>
      </c>
      <c r="G107" s="20" t="s">
        <v>19</v>
      </c>
      <c r="H107" s="22">
        <v>45352</v>
      </c>
      <c r="I107" s="19">
        <f>IF(F107="是",VLOOKUP(G107,[9]Sheet2!A:C,3,FALSE),VLOOKUP(G107,[9]Sheet2!A:B,2,FALSE))</f>
        <v>600</v>
      </c>
      <c r="J107" s="24" t="s">
        <v>20</v>
      </c>
      <c r="K107" s="25"/>
    </row>
    <row r="108" s="6" customFormat="1" ht="31" customHeight="1" spans="1:11">
      <c r="A108" s="19">
        <v>104</v>
      </c>
      <c r="B108" s="20" t="s">
        <v>14</v>
      </c>
      <c r="C108" s="20" t="s">
        <v>141</v>
      </c>
      <c r="D108" s="20" t="s">
        <v>142</v>
      </c>
      <c r="E108" s="21" t="s">
        <v>17</v>
      </c>
      <c r="F108" s="20" t="s">
        <v>18</v>
      </c>
      <c r="G108" s="20" t="s">
        <v>19</v>
      </c>
      <c r="H108" s="22">
        <v>45347</v>
      </c>
      <c r="I108" s="19">
        <v>600</v>
      </c>
      <c r="J108" s="24" t="s">
        <v>20</v>
      </c>
      <c r="K108" s="25"/>
    </row>
    <row r="109" s="6" customFormat="1" ht="31" customHeight="1" spans="1:11">
      <c r="A109" s="19">
        <v>105</v>
      </c>
      <c r="B109" s="20" t="s">
        <v>14</v>
      </c>
      <c r="C109" s="20" t="s">
        <v>141</v>
      </c>
      <c r="D109" s="20" t="s">
        <v>143</v>
      </c>
      <c r="E109" s="21" t="s">
        <v>17</v>
      </c>
      <c r="F109" s="20" t="s">
        <v>18</v>
      </c>
      <c r="G109" s="20" t="s">
        <v>19</v>
      </c>
      <c r="H109" s="22">
        <v>45335</v>
      </c>
      <c r="I109" s="19">
        <v>600</v>
      </c>
      <c r="J109" s="24" t="s">
        <v>20</v>
      </c>
      <c r="K109" s="25"/>
    </row>
    <row r="110" s="6" customFormat="1" ht="31" customHeight="1" spans="1:11">
      <c r="A110" s="19">
        <v>106</v>
      </c>
      <c r="B110" s="20" t="s">
        <v>14</v>
      </c>
      <c r="C110" s="20" t="s">
        <v>141</v>
      </c>
      <c r="D110" s="20" t="s">
        <v>144</v>
      </c>
      <c r="E110" s="21" t="s">
        <v>17</v>
      </c>
      <c r="F110" s="20" t="s">
        <v>18</v>
      </c>
      <c r="G110" s="20" t="s">
        <v>19</v>
      </c>
      <c r="H110" s="22">
        <v>45292</v>
      </c>
      <c r="I110" s="19">
        <v>600</v>
      </c>
      <c r="J110" s="24" t="s">
        <v>20</v>
      </c>
      <c r="K110" s="25"/>
    </row>
    <row r="111" s="6" customFormat="1" ht="31" customHeight="1" spans="1:11">
      <c r="A111" s="19">
        <v>107</v>
      </c>
      <c r="B111" s="20" t="s">
        <v>14</v>
      </c>
      <c r="C111" s="20" t="s">
        <v>141</v>
      </c>
      <c r="D111" s="20" t="s">
        <v>145</v>
      </c>
      <c r="E111" s="21" t="s">
        <v>17</v>
      </c>
      <c r="F111" s="20" t="s">
        <v>18</v>
      </c>
      <c r="G111" s="20" t="s">
        <v>55</v>
      </c>
      <c r="H111" s="22">
        <v>45352</v>
      </c>
      <c r="I111" s="19">
        <f>IF(F111="是",VLOOKUP(G111,[9]Sheet2!A:C,3,FALSE),VLOOKUP(G111,[9]Sheet2!A:B,2,FALSE))</f>
        <v>800</v>
      </c>
      <c r="J111" s="24" t="s">
        <v>20</v>
      </c>
      <c r="K111" s="25"/>
    </row>
    <row r="112" s="6" customFormat="1" ht="31" customHeight="1" spans="1:11">
      <c r="A112" s="19">
        <v>108</v>
      </c>
      <c r="B112" s="20" t="s">
        <v>14</v>
      </c>
      <c r="C112" s="20" t="s">
        <v>141</v>
      </c>
      <c r="D112" s="20" t="s">
        <v>146</v>
      </c>
      <c r="E112" s="21" t="s">
        <v>17</v>
      </c>
      <c r="F112" s="20" t="s">
        <v>18</v>
      </c>
      <c r="G112" s="20" t="s">
        <v>55</v>
      </c>
      <c r="H112" s="22">
        <v>45444</v>
      </c>
      <c r="I112" s="19">
        <f>IF(F112="是",VLOOKUP(G112,[9]Sheet2!A:C,3,FALSE),VLOOKUP(G112,[9]Sheet2!A:B,2,FALSE))</f>
        <v>800</v>
      </c>
      <c r="J112" s="24" t="s">
        <v>20</v>
      </c>
      <c r="K112" s="25"/>
    </row>
    <row r="113" s="6" customFormat="1" ht="31" customHeight="1" spans="1:11">
      <c r="A113" s="19">
        <v>109</v>
      </c>
      <c r="B113" s="20" t="s">
        <v>14</v>
      </c>
      <c r="C113" s="20" t="s">
        <v>141</v>
      </c>
      <c r="D113" s="20" t="s">
        <v>147</v>
      </c>
      <c r="E113" s="21" t="s">
        <v>17</v>
      </c>
      <c r="F113" s="20" t="s">
        <v>18</v>
      </c>
      <c r="G113" s="20" t="s">
        <v>19</v>
      </c>
      <c r="H113" s="22">
        <v>45348</v>
      </c>
      <c r="I113" s="19">
        <f>IF(F113="是",VLOOKUP(G113,[9]Sheet2!A:C,3,FALSE),VLOOKUP(G113,[9]Sheet2!A:B,2,FALSE))</f>
        <v>600</v>
      </c>
      <c r="J113" s="24" t="s">
        <v>20</v>
      </c>
      <c r="K113" s="25"/>
    </row>
    <row r="114" s="6" customFormat="1" ht="31" customHeight="1" spans="1:11">
      <c r="A114" s="19">
        <v>110</v>
      </c>
      <c r="B114" s="20" t="s">
        <v>14</v>
      </c>
      <c r="C114" s="20" t="s">
        <v>141</v>
      </c>
      <c r="D114" s="20" t="s">
        <v>148</v>
      </c>
      <c r="E114" s="21" t="s">
        <v>17</v>
      </c>
      <c r="F114" s="20" t="s">
        <v>18</v>
      </c>
      <c r="G114" s="20" t="s">
        <v>19</v>
      </c>
      <c r="H114" s="22">
        <v>45323</v>
      </c>
      <c r="I114" s="19">
        <f>IF(F114="是",VLOOKUP(G114,[9]Sheet2!A:C,3,FALSE),VLOOKUP(G114,[9]Sheet2!A:B,2,FALSE))</f>
        <v>600</v>
      </c>
      <c r="J114" s="24" t="s">
        <v>20</v>
      </c>
      <c r="K114" s="25"/>
    </row>
    <row r="115" s="6" customFormat="1" ht="31" customHeight="1" spans="1:11">
      <c r="A115" s="19">
        <v>111</v>
      </c>
      <c r="B115" s="20" t="s">
        <v>14</v>
      </c>
      <c r="C115" s="20" t="s">
        <v>141</v>
      </c>
      <c r="D115" s="20" t="s">
        <v>149</v>
      </c>
      <c r="E115" s="21" t="s">
        <v>17</v>
      </c>
      <c r="F115" s="20" t="s">
        <v>18</v>
      </c>
      <c r="G115" s="20" t="s">
        <v>19</v>
      </c>
      <c r="H115" s="22">
        <v>45474</v>
      </c>
      <c r="I115" s="19">
        <f>IF(F115="是",VLOOKUP(G115,[9]Sheet2!A:C,3,FALSE),VLOOKUP(G115,[9]Sheet2!A:B,2,FALSE))</f>
        <v>600</v>
      </c>
      <c r="J115" s="24" t="s">
        <v>20</v>
      </c>
      <c r="K115" s="25"/>
    </row>
    <row r="116" s="6" customFormat="1" ht="31" customHeight="1" spans="1:11">
      <c r="A116" s="19">
        <v>112</v>
      </c>
      <c r="B116" s="20" t="s">
        <v>14</v>
      </c>
      <c r="C116" s="20" t="s">
        <v>141</v>
      </c>
      <c r="D116" s="20" t="s">
        <v>150</v>
      </c>
      <c r="E116" s="21" t="s">
        <v>17</v>
      </c>
      <c r="F116" s="20" t="s">
        <v>18</v>
      </c>
      <c r="G116" s="20" t="s">
        <v>19</v>
      </c>
      <c r="H116" s="22">
        <v>45323</v>
      </c>
      <c r="I116" s="19">
        <f>IF(F116="是",VLOOKUP(G116,[9]Sheet2!A:C,3,FALSE),VLOOKUP(G116,[9]Sheet2!A:B,2,FALSE))</f>
        <v>600</v>
      </c>
      <c r="J116" s="24" t="s">
        <v>20</v>
      </c>
      <c r="K116" s="25"/>
    </row>
    <row r="117" s="6" customFormat="1" ht="31" customHeight="1" spans="1:11">
      <c r="A117" s="19">
        <v>113</v>
      </c>
      <c r="B117" s="20" t="s">
        <v>14</v>
      </c>
      <c r="C117" s="20" t="s">
        <v>141</v>
      </c>
      <c r="D117" s="20" t="s">
        <v>151</v>
      </c>
      <c r="E117" s="21" t="s">
        <v>17</v>
      </c>
      <c r="F117" s="20" t="s">
        <v>18</v>
      </c>
      <c r="G117" s="20" t="s">
        <v>19</v>
      </c>
      <c r="H117" s="22">
        <v>45323</v>
      </c>
      <c r="I117" s="19">
        <v>600</v>
      </c>
      <c r="J117" s="24" t="s">
        <v>20</v>
      </c>
      <c r="K117" s="25"/>
    </row>
    <row r="118" s="6" customFormat="1" ht="31" customHeight="1" spans="1:11">
      <c r="A118" s="19">
        <v>114</v>
      </c>
      <c r="B118" s="20" t="s">
        <v>14</v>
      </c>
      <c r="C118" s="20" t="s">
        <v>141</v>
      </c>
      <c r="D118" s="20" t="s">
        <v>152</v>
      </c>
      <c r="E118" s="21" t="s">
        <v>17</v>
      </c>
      <c r="F118" s="20" t="s">
        <v>18</v>
      </c>
      <c r="G118" s="20" t="s">
        <v>19</v>
      </c>
      <c r="H118" s="22">
        <v>45323</v>
      </c>
      <c r="I118" s="19">
        <f>IF(F118="是",VLOOKUP(G118,[9]Sheet2!A:C,3,FALSE),VLOOKUP(G118,[9]Sheet2!A:B,2,FALSE))</f>
        <v>600</v>
      </c>
      <c r="J118" s="24" t="s">
        <v>20</v>
      </c>
      <c r="K118" s="25"/>
    </row>
    <row r="119" s="6" customFormat="1" ht="31" customHeight="1" spans="1:11">
      <c r="A119" s="19">
        <v>115</v>
      </c>
      <c r="B119" s="20" t="s">
        <v>14</v>
      </c>
      <c r="C119" s="20" t="s">
        <v>141</v>
      </c>
      <c r="D119" s="20" t="s">
        <v>153</v>
      </c>
      <c r="E119" s="21" t="s">
        <v>17</v>
      </c>
      <c r="F119" s="20" t="s">
        <v>18</v>
      </c>
      <c r="G119" s="20" t="s">
        <v>19</v>
      </c>
      <c r="H119" s="22">
        <v>45323</v>
      </c>
      <c r="I119" s="19">
        <f>IF(F119="是",VLOOKUP(G119,[9]Sheet2!A:C,3,FALSE),VLOOKUP(G119,[9]Sheet2!A:B,2,FALSE))</f>
        <v>600</v>
      </c>
      <c r="J119" s="24" t="s">
        <v>20</v>
      </c>
      <c r="K119" s="25"/>
    </row>
    <row r="120" s="6" customFormat="1" ht="31" customHeight="1" spans="1:11">
      <c r="A120" s="19">
        <v>116</v>
      </c>
      <c r="B120" s="20" t="s">
        <v>14</v>
      </c>
      <c r="C120" s="20" t="s">
        <v>141</v>
      </c>
      <c r="D120" s="20" t="s">
        <v>154</v>
      </c>
      <c r="E120" s="21" t="s">
        <v>17</v>
      </c>
      <c r="F120" s="20" t="s">
        <v>18</v>
      </c>
      <c r="G120" s="20" t="s">
        <v>19</v>
      </c>
      <c r="H120" s="22">
        <v>45444</v>
      </c>
      <c r="I120" s="19">
        <f>IF(F120="是",VLOOKUP(G120,[9]Sheet2!A:C,3,FALSE),VLOOKUP(G120,[9]Sheet2!A:B,2,FALSE))</f>
        <v>600</v>
      </c>
      <c r="J120" s="24" t="s">
        <v>20</v>
      </c>
      <c r="K120" s="25"/>
    </row>
    <row r="121" s="6" customFormat="1" ht="31" customHeight="1" spans="1:11">
      <c r="A121" s="19">
        <v>117</v>
      </c>
      <c r="B121" s="20" t="s">
        <v>14</v>
      </c>
      <c r="C121" s="20" t="s">
        <v>141</v>
      </c>
      <c r="D121" s="20" t="s">
        <v>155</v>
      </c>
      <c r="E121" s="21" t="s">
        <v>17</v>
      </c>
      <c r="F121" s="20" t="s">
        <v>18</v>
      </c>
      <c r="G121" s="20" t="s">
        <v>19</v>
      </c>
      <c r="H121" s="22">
        <v>45383</v>
      </c>
      <c r="I121" s="19">
        <v>600</v>
      </c>
      <c r="J121" s="24" t="s">
        <v>20</v>
      </c>
      <c r="K121" s="25"/>
    </row>
    <row r="122" s="6" customFormat="1" ht="31" customHeight="1" spans="1:11">
      <c r="A122" s="19">
        <v>118</v>
      </c>
      <c r="B122" s="20" t="s">
        <v>14</v>
      </c>
      <c r="C122" s="20" t="s">
        <v>141</v>
      </c>
      <c r="D122" s="20" t="s">
        <v>156</v>
      </c>
      <c r="E122" s="21" t="s">
        <v>17</v>
      </c>
      <c r="F122" s="20" t="s">
        <v>18</v>
      </c>
      <c r="G122" s="20" t="s">
        <v>19</v>
      </c>
      <c r="H122" s="22">
        <v>45323</v>
      </c>
      <c r="I122" s="19">
        <v>600</v>
      </c>
      <c r="J122" s="24" t="s">
        <v>20</v>
      </c>
      <c r="K122" s="25"/>
    </row>
    <row r="123" s="6" customFormat="1" ht="31" customHeight="1" spans="1:11">
      <c r="A123" s="19">
        <v>119</v>
      </c>
      <c r="B123" s="20" t="s">
        <v>14</v>
      </c>
      <c r="C123" s="20" t="s">
        <v>141</v>
      </c>
      <c r="D123" s="20" t="s">
        <v>157</v>
      </c>
      <c r="E123" s="21" t="s">
        <v>17</v>
      </c>
      <c r="F123" s="20" t="s">
        <v>18</v>
      </c>
      <c r="G123" s="20" t="s">
        <v>19</v>
      </c>
      <c r="H123" s="22">
        <v>45413</v>
      </c>
      <c r="I123" s="19">
        <f>IF(F123="是",VLOOKUP(G123,[9]Sheet2!A:C,3,FALSE),VLOOKUP(G123,[9]Sheet2!A:B,2,FALSE))</f>
        <v>600</v>
      </c>
      <c r="J123" s="24" t="s">
        <v>20</v>
      </c>
      <c r="K123" s="25"/>
    </row>
    <row r="124" s="6" customFormat="1" ht="31" customHeight="1" spans="1:11">
      <c r="A124" s="19">
        <v>120</v>
      </c>
      <c r="B124" s="20" t="s">
        <v>14</v>
      </c>
      <c r="C124" s="20" t="s">
        <v>141</v>
      </c>
      <c r="D124" s="20" t="s">
        <v>158</v>
      </c>
      <c r="E124" s="21" t="s">
        <v>17</v>
      </c>
      <c r="F124" s="20" t="s">
        <v>18</v>
      </c>
      <c r="G124" s="20" t="s">
        <v>19</v>
      </c>
      <c r="H124" s="22">
        <v>45474</v>
      </c>
      <c r="I124" s="19">
        <f>IF(F124="是",VLOOKUP(G124,[9]Sheet2!A:C,3,FALSE),VLOOKUP(G124,[9]Sheet2!A:B,2,FALSE))</f>
        <v>600</v>
      </c>
      <c r="J124" s="24" t="s">
        <v>20</v>
      </c>
      <c r="K124" s="25"/>
    </row>
    <row r="125" s="6" customFormat="1" ht="31" customHeight="1" spans="1:11">
      <c r="A125" s="19">
        <v>121</v>
      </c>
      <c r="B125" s="20" t="s">
        <v>14</v>
      </c>
      <c r="C125" s="20" t="s">
        <v>141</v>
      </c>
      <c r="D125" s="20" t="s">
        <v>159</v>
      </c>
      <c r="E125" s="21" t="s">
        <v>17</v>
      </c>
      <c r="F125" s="20" t="s">
        <v>18</v>
      </c>
      <c r="G125" s="20" t="s">
        <v>19</v>
      </c>
      <c r="H125" s="23">
        <v>45348</v>
      </c>
      <c r="I125" s="19">
        <v>600</v>
      </c>
      <c r="J125" s="24" t="s">
        <v>20</v>
      </c>
      <c r="K125" s="25"/>
    </row>
    <row r="126" s="6" customFormat="1" ht="31" customHeight="1" spans="1:11">
      <c r="A126" s="19">
        <v>122</v>
      </c>
      <c r="B126" s="20" t="s">
        <v>14</v>
      </c>
      <c r="C126" s="20" t="s">
        <v>141</v>
      </c>
      <c r="D126" s="20" t="s">
        <v>160</v>
      </c>
      <c r="E126" s="21" t="s">
        <v>17</v>
      </c>
      <c r="F126" s="20" t="s">
        <v>18</v>
      </c>
      <c r="G126" s="20" t="s">
        <v>29</v>
      </c>
      <c r="H126" s="23">
        <v>45348</v>
      </c>
      <c r="I126" s="19">
        <f>IF(F126="是",VLOOKUP(G126,[9]Sheet2!A:C,3,FALSE),VLOOKUP(G126,[9]Sheet2!A:B,2,FALSE))</f>
        <v>800</v>
      </c>
      <c r="J126" s="24" t="s">
        <v>20</v>
      </c>
      <c r="K126" s="25"/>
    </row>
    <row r="127" s="6" customFormat="1" ht="31" customHeight="1" spans="1:11">
      <c r="A127" s="19">
        <v>123</v>
      </c>
      <c r="B127" s="20" t="s">
        <v>14</v>
      </c>
      <c r="C127" s="20" t="s">
        <v>141</v>
      </c>
      <c r="D127" s="20" t="s">
        <v>161</v>
      </c>
      <c r="E127" s="21" t="s">
        <v>17</v>
      </c>
      <c r="F127" s="20" t="s">
        <v>18</v>
      </c>
      <c r="G127" s="20" t="s">
        <v>19</v>
      </c>
      <c r="H127" s="23">
        <v>45362</v>
      </c>
      <c r="I127" s="19">
        <f>IF(F127="是",VLOOKUP(G127,[9]Sheet2!A:C,3,FALSE),VLOOKUP(G127,[9]Sheet2!A:B,2,FALSE))</f>
        <v>600</v>
      </c>
      <c r="J127" s="24" t="s">
        <v>20</v>
      </c>
      <c r="K127" s="25"/>
    </row>
    <row r="128" s="6" customFormat="1" ht="31" customHeight="1" spans="1:11">
      <c r="A128" s="19">
        <v>124</v>
      </c>
      <c r="B128" s="20" t="s">
        <v>14</v>
      </c>
      <c r="C128" s="20" t="s">
        <v>162</v>
      </c>
      <c r="D128" s="20" t="s">
        <v>163</v>
      </c>
      <c r="E128" s="21" t="s">
        <v>17</v>
      </c>
      <c r="F128" s="20" t="s">
        <v>18</v>
      </c>
      <c r="G128" s="20" t="s">
        <v>19</v>
      </c>
      <c r="H128" s="22">
        <v>45323</v>
      </c>
      <c r="I128" s="19">
        <f>IF(F128="是",VLOOKUP(G128,[9]Sheet2!A:C,3,FALSE),VLOOKUP(G128,[9]Sheet2!A:B,2,FALSE))</f>
        <v>600</v>
      </c>
      <c r="J128" s="24" t="s">
        <v>20</v>
      </c>
      <c r="K128" s="25"/>
    </row>
    <row r="129" s="6" customFormat="1" ht="31" customHeight="1" spans="1:11">
      <c r="A129" s="19">
        <v>125</v>
      </c>
      <c r="B129" s="20" t="s">
        <v>14</v>
      </c>
      <c r="C129" s="20" t="s">
        <v>162</v>
      </c>
      <c r="D129" s="20" t="s">
        <v>164</v>
      </c>
      <c r="E129" s="21" t="s">
        <v>17</v>
      </c>
      <c r="F129" s="20" t="s">
        <v>18</v>
      </c>
      <c r="G129" s="20" t="s">
        <v>19</v>
      </c>
      <c r="H129" s="22">
        <v>45323</v>
      </c>
      <c r="I129" s="19">
        <f>IF(F129="是",VLOOKUP(G129,[9]Sheet2!A:C,3,FALSE),VLOOKUP(G129,[9]Sheet2!A:B,2,FALSE))</f>
        <v>600</v>
      </c>
      <c r="J129" s="24" t="s">
        <v>20</v>
      </c>
      <c r="K129" s="25"/>
    </row>
    <row r="130" s="6" customFormat="1" ht="31" customHeight="1" spans="1:11">
      <c r="A130" s="19">
        <v>126</v>
      </c>
      <c r="B130" s="20" t="s">
        <v>14</v>
      </c>
      <c r="C130" s="20" t="s">
        <v>162</v>
      </c>
      <c r="D130" s="20" t="s">
        <v>165</v>
      </c>
      <c r="E130" s="21" t="s">
        <v>17</v>
      </c>
      <c r="F130" s="20" t="s">
        <v>18</v>
      </c>
      <c r="G130" s="20" t="s">
        <v>19</v>
      </c>
      <c r="H130" s="22">
        <v>45474</v>
      </c>
      <c r="I130" s="19">
        <f>IF(F130="是",VLOOKUP(G130,[9]Sheet2!A:C,3,FALSE),VLOOKUP(G130,[9]Sheet2!A:B,2,FALSE))</f>
        <v>600</v>
      </c>
      <c r="J130" s="24" t="s">
        <v>20</v>
      </c>
      <c r="K130" s="25"/>
    </row>
    <row r="131" s="6" customFormat="1" ht="31" customHeight="1" spans="1:11">
      <c r="A131" s="19">
        <v>127</v>
      </c>
      <c r="B131" s="20" t="s">
        <v>14</v>
      </c>
      <c r="C131" s="20" t="s">
        <v>162</v>
      </c>
      <c r="D131" s="20" t="s">
        <v>166</v>
      </c>
      <c r="E131" s="21" t="s">
        <v>17</v>
      </c>
      <c r="F131" s="20" t="s">
        <v>18</v>
      </c>
      <c r="G131" s="20" t="s">
        <v>19</v>
      </c>
      <c r="H131" s="22">
        <v>45323</v>
      </c>
      <c r="I131" s="19">
        <f>IF(F131="是",VLOOKUP(G131,[9]Sheet2!A:C,3,FALSE),VLOOKUP(G131,[9]Sheet2!A:B,2,FALSE))</f>
        <v>600</v>
      </c>
      <c r="J131" s="24" t="s">
        <v>20</v>
      </c>
      <c r="K131" s="25"/>
    </row>
    <row r="132" s="6" customFormat="1" ht="31" customHeight="1" spans="1:11">
      <c r="A132" s="19">
        <v>128</v>
      </c>
      <c r="B132" s="20" t="s">
        <v>14</v>
      </c>
      <c r="C132" s="20" t="s">
        <v>162</v>
      </c>
      <c r="D132" s="20" t="s">
        <v>167</v>
      </c>
      <c r="E132" s="21" t="s">
        <v>17</v>
      </c>
      <c r="F132" s="20" t="s">
        <v>18</v>
      </c>
      <c r="G132" s="20" t="s">
        <v>19</v>
      </c>
      <c r="H132" s="22">
        <v>45323</v>
      </c>
      <c r="I132" s="19">
        <f>IF(F132="是",VLOOKUP(G132,[9]Sheet2!A:C,3,FALSE),VLOOKUP(G132,[9]Sheet2!A:B,2,FALSE))</f>
        <v>600</v>
      </c>
      <c r="J132" s="24" t="s">
        <v>20</v>
      </c>
      <c r="K132" s="25"/>
    </row>
    <row r="133" s="6" customFormat="1" ht="31" customHeight="1" spans="1:11">
      <c r="A133" s="19">
        <v>129</v>
      </c>
      <c r="B133" s="20" t="s">
        <v>14</v>
      </c>
      <c r="C133" s="20" t="s">
        <v>162</v>
      </c>
      <c r="D133" s="20" t="s">
        <v>168</v>
      </c>
      <c r="E133" s="21" t="s">
        <v>17</v>
      </c>
      <c r="F133" s="20" t="s">
        <v>18</v>
      </c>
      <c r="G133" s="20" t="s">
        <v>19</v>
      </c>
      <c r="H133" s="22">
        <v>45413</v>
      </c>
      <c r="I133" s="19">
        <f>IF(F133="是",VLOOKUP(G133,[9]Sheet2!A:C,3,FALSE),VLOOKUP(G133,[9]Sheet2!A:B,2,FALSE))</f>
        <v>600</v>
      </c>
      <c r="J133" s="24" t="s">
        <v>20</v>
      </c>
      <c r="K133" s="25"/>
    </row>
    <row r="134" s="6" customFormat="1" ht="31" customHeight="1" spans="1:11">
      <c r="A134" s="19">
        <v>130</v>
      </c>
      <c r="B134" s="20" t="s">
        <v>14</v>
      </c>
      <c r="C134" s="20" t="s">
        <v>162</v>
      </c>
      <c r="D134" s="20" t="s">
        <v>169</v>
      </c>
      <c r="E134" s="21" t="s">
        <v>17</v>
      </c>
      <c r="F134" s="20" t="s">
        <v>18</v>
      </c>
      <c r="G134" s="20" t="s">
        <v>19</v>
      </c>
      <c r="H134" s="22">
        <v>45413</v>
      </c>
      <c r="I134" s="19">
        <f>IF(F134="是",VLOOKUP(G134,[9]Sheet2!A:C,3,FALSE),VLOOKUP(G134,[9]Sheet2!A:B,2,FALSE))</f>
        <v>600</v>
      </c>
      <c r="J134" s="24" t="s">
        <v>20</v>
      </c>
      <c r="K134" s="25"/>
    </row>
    <row r="135" s="6" customFormat="1" ht="31" customHeight="1" spans="1:11">
      <c r="A135" s="19">
        <v>131</v>
      </c>
      <c r="B135" s="20" t="s">
        <v>14</v>
      </c>
      <c r="C135" s="20" t="s">
        <v>162</v>
      </c>
      <c r="D135" s="20" t="s">
        <v>170</v>
      </c>
      <c r="E135" s="21" t="s">
        <v>17</v>
      </c>
      <c r="F135" s="20" t="s">
        <v>18</v>
      </c>
      <c r="G135" s="20" t="s">
        <v>19</v>
      </c>
      <c r="H135" s="22">
        <v>45347</v>
      </c>
      <c r="I135" s="19">
        <f>IF(F135="是",VLOOKUP(G135,[12]Sheet2!A:C,3,FALSE),VLOOKUP(G135,[12]Sheet2!A:B,2,FALSE))</f>
        <v>600</v>
      </c>
      <c r="J135" s="24" t="s">
        <v>20</v>
      </c>
      <c r="K135" s="25"/>
    </row>
    <row r="136" s="6" customFormat="1" ht="31" customHeight="1" spans="1:11">
      <c r="A136" s="19">
        <v>132</v>
      </c>
      <c r="B136" s="20" t="s">
        <v>14</v>
      </c>
      <c r="C136" s="20" t="s">
        <v>162</v>
      </c>
      <c r="D136" s="20" t="s">
        <v>171</v>
      </c>
      <c r="E136" s="21" t="s">
        <v>17</v>
      </c>
      <c r="F136" s="20" t="s">
        <v>18</v>
      </c>
      <c r="G136" s="20" t="s">
        <v>19</v>
      </c>
      <c r="H136" s="22">
        <v>45323</v>
      </c>
      <c r="I136" s="19">
        <v>600</v>
      </c>
      <c r="J136" s="24" t="s">
        <v>20</v>
      </c>
      <c r="K136" s="25"/>
    </row>
    <row r="137" s="6" customFormat="1" ht="31" customHeight="1" spans="1:11">
      <c r="A137" s="19">
        <v>133</v>
      </c>
      <c r="B137" s="20" t="s">
        <v>14</v>
      </c>
      <c r="C137" s="20" t="s">
        <v>162</v>
      </c>
      <c r="D137" s="20" t="s">
        <v>172</v>
      </c>
      <c r="E137" s="21" t="s">
        <v>17</v>
      </c>
      <c r="F137" s="20" t="s">
        <v>18</v>
      </c>
      <c r="G137" s="20" t="s">
        <v>19</v>
      </c>
      <c r="H137" s="22">
        <v>45323</v>
      </c>
      <c r="I137" s="19">
        <f>IF(F137="是",VLOOKUP(G137,[13]Sheet2!A:C,3,FALSE),VLOOKUP(G137,[13]Sheet2!A:B,2,FALSE))</f>
        <v>600</v>
      </c>
      <c r="J137" s="24" t="s">
        <v>20</v>
      </c>
      <c r="K137" s="25"/>
    </row>
    <row r="138" s="6" customFormat="1" ht="31" customHeight="1" spans="1:11">
      <c r="A138" s="19">
        <v>134</v>
      </c>
      <c r="B138" s="20" t="s">
        <v>14</v>
      </c>
      <c r="C138" s="20" t="s">
        <v>162</v>
      </c>
      <c r="D138" s="20" t="s">
        <v>173</v>
      </c>
      <c r="E138" s="21" t="s">
        <v>17</v>
      </c>
      <c r="F138" s="20" t="s">
        <v>18</v>
      </c>
      <c r="G138" s="20" t="s">
        <v>32</v>
      </c>
      <c r="H138" s="22">
        <v>45352</v>
      </c>
      <c r="I138" s="19">
        <f>IF(F138="是",VLOOKUP(G138,[12]Sheet2!A:C,3,FALSE),VLOOKUP(G138,[12]Sheet2!A:B,2,FALSE))</f>
        <v>800</v>
      </c>
      <c r="J138" s="24" t="s">
        <v>20</v>
      </c>
      <c r="K138" s="25"/>
    </row>
    <row r="139" s="6" customFormat="1" ht="31" customHeight="1" spans="1:11">
      <c r="A139" s="19">
        <v>135</v>
      </c>
      <c r="B139" s="20" t="s">
        <v>14</v>
      </c>
      <c r="C139" s="20" t="s">
        <v>162</v>
      </c>
      <c r="D139" s="20" t="s">
        <v>174</v>
      </c>
      <c r="E139" s="21" t="s">
        <v>17</v>
      </c>
      <c r="F139" s="20" t="s">
        <v>18</v>
      </c>
      <c r="G139" s="20" t="s">
        <v>29</v>
      </c>
      <c r="H139" s="22">
        <v>45352</v>
      </c>
      <c r="I139" s="19">
        <f>IF(F139="是",VLOOKUP(G139,[12]Sheet2!A:C,3,FALSE),VLOOKUP(G139,[12]Sheet2!A:B,2,FALSE))</f>
        <v>800</v>
      </c>
      <c r="J139" s="24" t="s">
        <v>20</v>
      </c>
      <c r="K139" s="25"/>
    </row>
    <row r="140" s="6" customFormat="1" ht="31" customHeight="1" spans="1:11">
      <c r="A140" s="19">
        <v>136</v>
      </c>
      <c r="B140" s="20" t="s">
        <v>14</v>
      </c>
      <c r="C140" s="20" t="s">
        <v>162</v>
      </c>
      <c r="D140" s="20" t="s">
        <v>175</v>
      </c>
      <c r="E140" s="21" t="s">
        <v>17</v>
      </c>
      <c r="F140" s="20" t="s">
        <v>18</v>
      </c>
      <c r="G140" s="20" t="s">
        <v>19</v>
      </c>
      <c r="H140" s="22">
        <v>45352</v>
      </c>
      <c r="I140" s="19">
        <f>IF(F140="是",VLOOKUP(G140,[9]Sheet2!A:C,3,FALSE),VLOOKUP(G140,[9]Sheet2!A:B,2,FALSE))</f>
        <v>600</v>
      </c>
      <c r="J140" s="24" t="s">
        <v>20</v>
      </c>
      <c r="K140" s="25"/>
    </row>
    <row r="141" s="6" customFormat="1" ht="31" customHeight="1" spans="1:11">
      <c r="A141" s="19">
        <v>137</v>
      </c>
      <c r="B141" s="20" t="s">
        <v>14</v>
      </c>
      <c r="C141" s="20" t="s">
        <v>162</v>
      </c>
      <c r="D141" s="20" t="s">
        <v>176</v>
      </c>
      <c r="E141" s="21" t="s">
        <v>17</v>
      </c>
      <c r="F141" s="20" t="s">
        <v>18</v>
      </c>
      <c r="G141" s="20" t="s">
        <v>19</v>
      </c>
      <c r="H141" s="22">
        <v>45352</v>
      </c>
      <c r="I141" s="19">
        <f>IF(F141="是",VLOOKUP(G141,[17]Sheet2!A:C,3,FALSE),VLOOKUP(G141,[17]Sheet2!A:B,2,FALSE))</f>
        <v>600</v>
      </c>
      <c r="J141" s="24" t="s">
        <v>20</v>
      </c>
      <c r="K141" s="25"/>
    </row>
    <row r="142" s="6" customFormat="1" ht="31" customHeight="1" spans="1:11">
      <c r="A142" s="19">
        <v>138</v>
      </c>
      <c r="B142" s="20" t="s">
        <v>14</v>
      </c>
      <c r="C142" s="20" t="s">
        <v>162</v>
      </c>
      <c r="D142" s="20" t="s">
        <v>177</v>
      </c>
      <c r="E142" s="21" t="s">
        <v>17</v>
      </c>
      <c r="F142" s="20" t="s">
        <v>18</v>
      </c>
      <c r="G142" s="20" t="s">
        <v>19</v>
      </c>
      <c r="H142" s="22">
        <v>45352</v>
      </c>
      <c r="I142" s="19">
        <f>IF(F142="是",VLOOKUP(G142,[17]Sheet2!A:C,3,FALSE),VLOOKUP(G142,[17]Sheet2!A:B,2,FALSE))</f>
        <v>600</v>
      </c>
      <c r="J142" s="24" t="s">
        <v>20</v>
      </c>
      <c r="K142" s="25"/>
    </row>
    <row r="143" s="6" customFormat="1" ht="31" customHeight="1" spans="1:11">
      <c r="A143" s="19">
        <v>139</v>
      </c>
      <c r="B143" s="20" t="s">
        <v>14</v>
      </c>
      <c r="C143" s="20" t="s">
        <v>162</v>
      </c>
      <c r="D143" s="20" t="s">
        <v>178</v>
      </c>
      <c r="E143" s="21" t="s">
        <v>17</v>
      </c>
      <c r="F143" s="20" t="s">
        <v>18</v>
      </c>
      <c r="G143" s="20" t="s">
        <v>19</v>
      </c>
      <c r="H143" s="23">
        <v>45348</v>
      </c>
      <c r="I143" s="19">
        <f>IF(F143="是",VLOOKUP(G143,[9]Sheet2!A:C,3,FALSE),VLOOKUP(G143,[9]Sheet2!A:B,2,FALSE))</f>
        <v>600</v>
      </c>
      <c r="J143" s="24" t="s">
        <v>20</v>
      </c>
      <c r="K143" s="25"/>
    </row>
    <row r="144" s="6" customFormat="1" ht="31" customHeight="1" spans="1:11">
      <c r="A144" s="19">
        <v>140</v>
      </c>
      <c r="B144" s="20" t="s">
        <v>14</v>
      </c>
      <c r="C144" s="20" t="s">
        <v>162</v>
      </c>
      <c r="D144" s="20" t="s">
        <v>179</v>
      </c>
      <c r="E144" s="21" t="s">
        <v>17</v>
      </c>
      <c r="F144" s="20" t="s">
        <v>18</v>
      </c>
      <c r="G144" s="20" t="s">
        <v>19</v>
      </c>
      <c r="H144" s="23">
        <v>45348</v>
      </c>
      <c r="I144" s="19">
        <f>IF(F144="是",VLOOKUP(G144,[9]Sheet2!A:C,3,FALSE),VLOOKUP(G144,[9]Sheet2!A:B,2,FALSE))</f>
        <v>600</v>
      </c>
      <c r="J144" s="24" t="s">
        <v>20</v>
      </c>
      <c r="K144" s="25"/>
    </row>
    <row r="145" s="6" customFormat="1" ht="31" customHeight="1" spans="1:11">
      <c r="A145" s="19">
        <v>141</v>
      </c>
      <c r="B145" s="20" t="s">
        <v>14</v>
      </c>
      <c r="C145" s="20" t="s">
        <v>162</v>
      </c>
      <c r="D145" s="20" t="s">
        <v>180</v>
      </c>
      <c r="E145" s="21" t="s">
        <v>17</v>
      </c>
      <c r="F145" s="20" t="s">
        <v>18</v>
      </c>
      <c r="G145" s="20" t="s">
        <v>19</v>
      </c>
      <c r="H145" s="23">
        <v>45434</v>
      </c>
      <c r="I145" s="19">
        <f>IF(F145="是",VLOOKUP(G145,[29]Sheet2!A:C,3,FALSE),VLOOKUP(G145,[29]Sheet2!A:B,2,FALSE))</f>
        <v>600</v>
      </c>
      <c r="J145" s="24" t="s">
        <v>20</v>
      </c>
      <c r="K145" s="25"/>
    </row>
    <row r="146" s="6" customFormat="1" ht="31" customHeight="1" spans="1:11">
      <c r="A146" s="19">
        <v>142</v>
      </c>
      <c r="B146" s="20" t="s">
        <v>14</v>
      </c>
      <c r="C146" s="20" t="s">
        <v>162</v>
      </c>
      <c r="D146" s="20" t="s">
        <v>181</v>
      </c>
      <c r="E146" s="21" t="s">
        <v>17</v>
      </c>
      <c r="F146" s="20" t="s">
        <v>18</v>
      </c>
      <c r="G146" s="20" t="s">
        <v>19</v>
      </c>
      <c r="H146" s="23">
        <v>45377</v>
      </c>
      <c r="I146" s="31">
        <f>IF(F146="是",VLOOKUP(G146,[29]Sheet2!A:C,3,FALSE),VLOOKUP(G146,[29]Sheet2!A:B,2,FALSE))</f>
        <v>600</v>
      </c>
      <c r="J146" s="24" t="s">
        <v>20</v>
      </c>
      <c r="K146" s="25"/>
    </row>
    <row r="147" s="6" customFormat="1" ht="31" customHeight="1" spans="1:11">
      <c r="A147" s="19">
        <v>143</v>
      </c>
      <c r="B147" s="20" t="s">
        <v>14</v>
      </c>
      <c r="C147" s="20" t="s">
        <v>162</v>
      </c>
      <c r="D147" s="20" t="s">
        <v>182</v>
      </c>
      <c r="E147" s="21" t="s">
        <v>17</v>
      </c>
      <c r="F147" s="20" t="s">
        <v>18</v>
      </c>
      <c r="G147" s="20" t="s">
        <v>55</v>
      </c>
      <c r="H147" s="23">
        <v>45323</v>
      </c>
      <c r="I147" s="19">
        <f>IF(F147="是",VLOOKUP(G147,[29]Sheet2!A:C,3,FALSE),VLOOKUP(G147,[29]Sheet2!A:B,2,FALSE))</f>
        <v>800</v>
      </c>
      <c r="J147" s="24" t="s">
        <v>20</v>
      </c>
      <c r="K147" s="25"/>
    </row>
    <row r="148" s="6" customFormat="1" ht="31" customHeight="1" spans="1:11">
      <c r="A148" s="19">
        <v>144</v>
      </c>
      <c r="B148" s="20" t="s">
        <v>14</v>
      </c>
      <c r="C148" s="20" t="s">
        <v>162</v>
      </c>
      <c r="D148" s="20" t="s">
        <v>183</v>
      </c>
      <c r="E148" s="21" t="s">
        <v>17</v>
      </c>
      <c r="F148" s="20" t="s">
        <v>18</v>
      </c>
      <c r="G148" s="20" t="s">
        <v>32</v>
      </c>
      <c r="H148" s="23">
        <v>45323</v>
      </c>
      <c r="I148" s="19">
        <f>IF(F148="是",VLOOKUP(G148,[30]Sheet2!A:C,3,FALSE),VLOOKUP(G148,[30]Sheet2!A:B,2,FALSE))</f>
        <v>800</v>
      </c>
      <c r="J148" s="24" t="s">
        <v>20</v>
      </c>
      <c r="K148" s="25"/>
    </row>
    <row r="149" s="6" customFormat="1" ht="31" customHeight="1" spans="1:11">
      <c r="A149" s="19">
        <v>145</v>
      </c>
      <c r="B149" s="26" t="s">
        <v>184</v>
      </c>
      <c r="C149" s="26" t="s">
        <v>185</v>
      </c>
      <c r="D149" s="26" t="s">
        <v>186</v>
      </c>
      <c r="E149" s="27" t="s">
        <v>17</v>
      </c>
      <c r="F149" s="26" t="s">
        <v>18</v>
      </c>
      <c r="G149" s="26" t="s">
        <v>19</v>
      </c>
      <c r="H149" s="28">
        <v>45383</v>
      </c>
      <c r="I149" s="19">
        <f>IF(F149="是",VLOOKUP(G149,[32]Sheet2!A:C,3,FALSE),VLOOKUP(G149,[32]Sheet2!A:B,2,FALSE))</f>
        <v>600</v>
      </c>
      <c r="J149" s="24" t="s">
        <v>20</v>
      </c>
      <c r="K149" s="25"/>
    </row>
    <row r="150" s="6" customFormat="1" ht="31" customHeight="1" spans="1:11">
      <c r="A150" s="19">
        <v>146</v>
      </c>
      <c r="B150" s="26" t="s">
        <v>184</v>
      </c>
      <c r="C150" s="26" t="s">
        <v>185</v>
      </c>
      <c r="D150" s="26" t="s">
        <v>187</v>
      </c>
      <c r="E150" s="27" t="s">
        <v>17</v>
      </c>
      <c r="F150" s="26" t="s">
        <v>18</v>
      </c>
      <c r="G150" s="26" t="s">
        <v>19</v>
      </c>
      <c r="H150" s="28">
        <v>45383</v>
      </c>
      <c r="I150" s="19">
        <f>IF(F150="是",VLOOKUP(G150,[32]Sheet2!A:C,3,FALSE),VLOOKUP(G150,[32]Sheet2!A:B,2,FALSE))</f>
        <v>600</v>
      </c>
      <c r="J150" s="24" t="s">
        <v>20</v>
      </c>
      <c r="K150" s="25"/>
    </row>
    <row r="151" s="6" customFormat="1" ht="31" customHeight="1" spans="1:11">
      <c r="A151" s="19">
        <v>147</v>
      </c>
      <c r="B151" s="26" t="s">
        <v>184</v>
      </c>
      <c r="C151" s="26" t="s">
        <v>185</v>
      </c>
      <c r="D151" s="26" t="s">
        <v>188</v>
      </c>
      <c r="E151" s="27" t="s">
        <v>17</v>
      </c>
      <c r="F151" s="26" t="s">
        <v>18</v>
      </c>
      <c r="G151" s="26" t="s">
        <v>19</v>
      </c>
      <c r="H151" s="28">
        <v>45444</v>
      </c>
      <c r="I151" s="19">
        <f>IF(F151="是",VLOOKUP(G151,[32]Sheet2!A:C,3,FALSE),VLOOKUP(G151,[32]Sheet2!A:B,2,FALSE))</f>
        <v>600</v>
      </c>
      <c r="J151" s="24" t="s">
        <v>20</v>
      </c>
      <c r="K151" s="25"/>
    </row>
    <row r="152" s="6" customFormat="1" ht="31" customHeight="1" spans="1:11">
      <c r="A152" s="19">
        <v>148</v>
      </c>
      <c r="B152" s="26" t="s">
        <v>184</v>
      </c>
      <c r="C152" s="26" t="s">
        <v>185</v>
      </c>
      <c r="D152" s="26" t="s">
        <v>189</v>
      </c>
      <c r="E152" s="27" t="s">
        <v>17</v>
      </c>
      <c r="F152" s="26" t="s">
        <v>18</v>
      </c>
      <c r="G152" s="26" t="s">
        <v>19</v>
      </c>
      <c r="H152" s="28">
        <v>45383</v>
      </c>
      <c r="I152" s="19">
        <f>IF(F152="是",VLOOKUP(G152,[32]Sheet2!A:C,3,FALSE),VLOOKUP(G152,[32]Sheet2!A:B,2,FALSE))</f>
        <v>600</v>
      </c>
      <c r="J152" s="24" t="s">
        <v>20</v>
      </c>
      <c r="K152" s="25"/>
    </row>
    <row r="153" s="6" customFormat="1" ht="31" customHeight="1" spans="1:11">
      <c r="A153" s="19">
        <v>149</v>
      </c>
      <c r="B153" s="26" t="s">
        <v>184</v>
      </c>
      <c r="C153" s="26" t="s">
        <v>185</v>
      </c>
      <c r="D153" s="26" t="s">
        <v>190</v>
      </c>
      <c r="E153" s="27" t="s">
        <v>17</v>
      </c>
      <c r="F153" s="26" t="s">
        <v>18</v>
      </c>
      <c r="G153" s="26" t="s">
        <v>19</v>
      </c>
      <c r="H153" s="28">
        <v>45323</v>
      </c>
      <c r="I153" s="19">
        <f>IF(F153="是",VLOOKUP(G153,[32]Sheet2!A:C,3,FALSE),VLOOKUP(G153,[32]Sheet2!A:B,2,FALSE))</f>
        <v>600</v>
      </c>
      <c r="J153" s="24" t="s">
        <v>20</v>
      </c>
      <c r="K153" s="25"/>
    </row>
    <row r="154" s="6" customFormat="1" ht="31" customHeight="1" spans="1:11">
      <c r="A154" s="19">
        <v>150</v>
      </c>
      <c r="B154" s="26" t="s">
        <v>184</v>
      </c>
      <c r="C154" s="26" t="s">
        <v>185</v>
      </c>
      <c r="D154" s="26" t="s">
        <v>191</v>
      </c>
      <c r="E154" s="27" t="s">
        <v>17</v>
      </c>
      <c r="F154" s="26" t="s">
        <v>18</v>
      </c>
      <c r="G154" s="26" t="s">
        <v>19</v>
      </c>
      <c r="H154" s="28">
        <v>45323</v>
      </c>
      <c r="I154" s="19">
        <f>IF(F154="是",VLOOKUP(G154,[32]Sheet2!A:C,3,FALSE),VLOOKUP(G154,[32]Sheet2!A:B,2,FALSE))</f>
        <v>600</v>
      </c>
      <c r="J154" s="24" t="s">
        <v>20</v>
      </c>
      <c r="K154" s="25"/>
    </row>
    <row r="155" s="6" customFormat="1" ht="31" customHeight="1" spans="1:11">
      <c r="A155" s="19">
        <v>151</v>
      </c>
      <c r="B155" s="26" t="s">
        <v>184</v>
      </c>
      <c r="C155" s="26" t="s">
        <v>185</v>
      </c>
      <c r="D155" s="26" t="s">
        <v>192</v>
      </c>
      <c r="E155" s="27" t="s">
        <v>17</v>
      </c>
      <c r="F155" s="26" t="s">
        <v>18</v>
      </c>
      <c r="G155" s="26" t="s">
        <v>19</v>
      </c>
      <c r="H155" s="28">
        <v>45323</v>
      </c>
      <c r="I155" s="19">
        <f>IF(F155="是",VLOOKUP(G155,[32]Sheet2!A:C,3,FALSE),VLOOKUP(G155,[32]Sheet2!A:B,2,FALSE))</f>
        <v>600</v>
      </c>
      <c r="J155" s="24" t="s">
        <v>20</v>
      </c>
      <c r="K155" s="25"/>
    </row>
    <row r="156" s="6" customFormat="1" ht="31" customHeight="1" spans="1:11">
      <c r="A156" s="19">
        <v>152</v>
      </c>
      <c r="B156" s="26" t="s">
        <v>184</v>
      </c>
      <c r="C156" s="26" t="s">
        <v>185</v>
      </c>
      <c r="D156" s="26" t="s">
        <v>193</v>
      </c>
      <c r="E156" s="27" t="s">
        <v>17</v>
      </c>
      <c r="F156" s="26" t="s">
        <v>18</v>
      </c>
      <c r="G156" s="26" t="s">
        <v>19</v>
      </c>
      <c r="H156" s="28">
        <v>45323</v>
      </c>
      <c r="I156" s="19">
        <f>IF(F156="是",VLOOKUP(G156,[32]Sheet2!A:C,3,FALSE),VLOOKUP(G156,[32]Sheet2!A:B,2,FALSE))</f>
        <v>600</v>
      </c>
      <c r="J156" s="24" t="s">
        <v>20</v>
      </c>
      <c r="K156" s="25"/>
    </row>
    <row r="157" s="6" customFormat="1" ht="31" customHeight="1" spans="1:11">
      <c r="A157" s="19">
        <v>153</v>
      </c>
      <c r="B157" s="26" t="s">
        <v>184</v>
      </c>
      <c r="C157" s="26" t="s">
        <v>185</v>
      </c>
      <c r="D157" s="26" t="s">
        <v>194</v>
      </c>
      <c r="E157" s="27" t="s">
        <v>17</v>
      </c>
      <c r="F157" s="26" t="s">
        <v>18</v>
      </c>
      <c r="G157" s="26" t="s">
        <v>32</v>
      </c>
      <c r="H157" s="28">
        <v>45323</v>
      </c>
      <c r="I157" s="19">
        <f>IF(F157="是",VLOOKUP(G157,[32]Sheet2!A:C,3,FALSE),VLOOKUP(G157,[32]Sheet2!A:B,2,FALSE))</f>
        <v>800</v>
      </c>
      <c r="J157" s="24" t="s">
        <v>20</v>
      </c>
      <c r="K157" s="25"/>
    </row>
    <row r="158" s="6" customFormat="1" ht="31" customHeight="1" spans="1:11">
      <c r="A158" s="19">
        <v>154</v>
      </c>
      <c r="B158" s="26" t="s">
        <v>184</v>
      </c>
      <c r="C158" s="26" t="s">
        <v>185</v>
      </c>
      <c r="D158" s="26" t="s">
        <v>195</v>
      </c>
      <c r="E158" s="27" t="s">
        <v>17</v>
      </c>
      <c r="F158" s="26" t="s">
        <v>18</v>
      </c>
      <c r="G158" s="26" t="s">
        <v>19</v>
      </c>
      <c r="H158" s="28">
        <v>45383</v>
      </c>
      <c r="I158" s="19">
        <f>IF(F158="是",VLOOKUP(G158,[32]Sheet2!A:C,3,FALSE),VLOOKUP(G158,[32]Sheet2!A:B,2,FALSE))</f>
        <v>600</v>
      </c>
      <c r="J158" s="24" t="s">
        <v>20</v>
      </c>
      <c r="K158" s="25"/>
    </row>
    <row r="159" s="6" customFormat="1" ht="31" customHeight="1" spans="1:11">
      <c r="A159" s="19">
        <v>155</v>
      </c>
      <c r="B159" s="26" t="s">
        <v>184</v>
      </c>
      <c r="C159" s="26" t="s">
        <v>185</v>
      </c>
      <c r="D159" s="26" t="s">
        <v>196</v>
      </c>
      <c r="E159" s="27" t="s">
        <v>17</v>
      </c>
      <c r="F159" s="26" t="s">
        <v>18</v>
      </c>
      <c r="G159" s="26" t="s">
        <v>19</v>
      </c>
      <c r="H159" s="28">
        <v>45323</v>
      </c>
      <c r="I159" s="19">
        <f>IF(F159="是",VLOOKUP(G159,[32]Sheet2!A:C,3,FALSE),VLOOKUP(G159,[32]Sheet2!A:B,2,FALSE))</f>
        <v>600</v>
      </c>
      <c r="J159" s="24" t="s">
        <v>20</v>
      </c>
      <c r="K159" s="25"/>
    </row>
    <row r="160" s="6" customFormat="1" ht="31" customHeight="1" spans="1:11">
      <c r="A160" s="19">
        <v>156</v>
      </c>
      <c r="B160" s="26" t="s">
        <v>184</v>
      </c>
      <c r="C160" s="26" t="s">
        <v>185</v>
      </c>
      <c r="D160" s="26" t="s">
        <v>197</v>
      </c>
      <c r="E160" s="27" t="s">
        <v>17</v>
      </c>
      <c r="F160" s="26" t="s">
        <v>18</v>
      </c>
      <c r="G160" s="26" t="s">
        <v>19</v>
      </c>
      <c r="H160" s="28">
        <v>45323</v>
      </c>
      <c r="I160" s="19">
        <f>IF(F160="是",VLOOKUP(G160,[32]Sheet2!A:C,3,FALSE),VLOOKUP(G160,[32]Sheet2!A:B,2,FALSE))</f>
        <v>600</v>
      </c>
      <c r="J160" s="24" t="s">
        <v>20</v>
      </c>
      <c r="K160" s="25"/>
    </row>
    <row r="161" s="6" customFormat="1" ht="31" customHeight="1" spans="1:11">
      <c r="A161" s="19">
        <v>157</v>
      </c>
      <c r="B161" s="26" t="s">
        <v>184</v>
      </c>
      <c r="C161" s="26" t="s">
        <v>185</v>
      </c>
      <c r="D161" s="26" t="s">
        <v>198</v>
      </c>
      <c r="E161" s="27" t="s">
        <v>17</v>
      </c>
      <c r="F161" s="26" t="s">
        <v>18</v>
      </c>
      <c r="G161" s="26" t="s">
        <v>19</v>
      </c>
      <c r="H161" s="28">
        <v>45323</v>
      </c>
      <c r="I161" s="19">
        <f>IF(F161="是",VLOOKUP(G161,[32]Sheet2!A:C,3,FALSE),VLOOKUP(G161,[32]Sheet2!A:B,2,FALSE))</f>
        <v>600</v>
      </c>
      <c r="J161" s="24" t="s">
        <v>20</v>
      </c>
      <c r="K161" s="25"/>
    </row>
    <row r="162" s="6" customFormat="1" ht="31" customHeight="1" spans="1:11">
      <c r="A162" s="19">
        <v>158</v>
      </c>
      <c r="B162" s="29" t="s">
        <v>184</v>
      </c>
      <c r="C162" s="29" t="s">
        <v>185</v>
      </c>
      <c r="D162" s="29" t="s">
        <v>199</v>
      </c>
      <c r="E162" s="27" t="s">
        <v>17</v>
      </c>
      <c r="F162" s="29" t="s">
        <v>18</v>
      </c>
      <c r="G162" s="29" t="s">
        <v>19</v>
      </c>
      <c r="H162" s="28">
        <v>45323</v>
      </c>
      <c r="I162" s="19">
        <f>IF(F162="是",VLOOKUP(G162,[32]Sheet2!A:C,3,FALSE),VLOOKUP(G162,[32]Sheet2!A:B,2,FALSE))</f>
        <v>600</v>
      </c>
      <c r="J162" s="24" t="s">
        <v>20</v>
      </c>
      <c r="K162" s="25"/>
    </row>
    <row r="163" s="6" customFormat="1" ht="31" customHeight="1" spans="1:11">
      <c r="A163" s="19">
        <v>159</v>
      </c>
      <c r="B163" s="26" t="s">
        <v>184</v>
      </c>
      <c r="C163" s="26" t="s">
        <v>185</v>
      </c>
      <c r="D163" s="26" t="s">
        <v>200</v>
      </c>
      <c r="E163" s="27" t="s">
        <v>17</v>
      </c>
      <c r="F163" s="26" t="s">
        <v>18</v>
      </c>
      <c r="G163" s="26" t="s">
        <v>19</v>
      </c>
      <c r="H163" s="28">
        <v>45323</v>
      </c>
      <c r="I163" s="19">
        <f>IF(F163="是",VLOOKUP(G163,[32]Sheet2!A:C,3,FALSE),VLOOKUP(G163,[32]Sheet2!A:B,2,FALSE))</f>
        <v>600</v>
      </c>
      <c r="J163" s="24" t="s">
        <v>20</v>
      </c>
      <c r="K163" s="25"/>
    </row>
    <row r="164" s="6" customFormat="1" ht="31" customHeight="1" spans="1:11">
      <c r="A164" s="19">
        <v>160</v>
      </c>
      <c r="B164" s="26" t="s">
        <v>184</v>
      </c>
      <c r="C164" s="26" t="s">
        <v>185</v>
      </c>
      <c r="D164" s="26" t="s">
        <v>201</v>
      </c>
      <c r="E164" s="27" t="s">
        <v>17</v>
      </c>
      <c r="F164" s="26" t="s">
        <v>18</v>
      </c>
      <c r="G164" s="26" t="s">
        <v>19</v>
      </c>
      <c r="H164" s="28">
        <v>45444</v>
      </c>
      <c r="I164" s="19">
        <f>IF(F164="是",VLOOKUP(G164,[32]Sheet2!A:C,3,FALSE),VLOOKUP(G164,[32]Sheet2!A:B,2,FALSE))</f>
        <v>600</v>
      </c>
      <c r="J164" s="24" t="s">
        <v>20</v>
      </c>
      <c r="K164" s="25"/>
    </row>
    <row r="165" s="6" customFormat="1" ht="31" customHeight="1" spans="1:11">
      <c r="A165" s="19">
        <v>161</v>
      </c>
      <c r="B165" s="26" t="s">
        <v>184</v>
      </c>
      <c r="C165" s="26" t="s">
        <v>185</v>
      </c>
      <c r="D165" s="26" t="s">
        <v>202</v>
      </c>
      <c r="E165" s="27" t="s">
        <v>17</v>
      </c>
      <c r="F165" s="26" t="s">
        <v>18</v>
      </c>
      <c r="G165" s="26" t="s">
        <v>19</v>
      </c>
      <c r="H165" s="28">
        <v>45323</v>
      </c>
      <c r="I165" s="19">
        <f>IF(F165="是",VLOOKUP(G165,[32]Sheet2!A:C,3,FALSE),VLOOKUP(G165,[32]Sheet2!A:B,2,FALSE))</f>
        <v>600</v>
      </c>
      <c r="J165" s="24" t="s">
        <v>20</v>
      </c>
      <c r="K165" s="25"/>
    </row>
    <row r="166" s="6" customFormat="1" ht="31" customHeight="1" spans="1:11">
      <c r="A166" s="19">
        <v>162</v>
      </c>
      <c r="B166" s="26" t="s">
        <v>184</v>
      </c>
      <c r="C166" s="26" t="s">
        <v>185</v>
      </c>
      <c r="D166" s="26" t="s">
        <v>203</v>
      </c>
      <c r="E166" s="27" t="s">
        <v>17</v>
      </c>
      <c r="F166" s="26" t="s">
        <v>18</v>
      </c>
      <c r="G166" s="26" t="s">
        <v>19</v>
      </c>
      <c r="H166" s="28">
        <v>45323</v>
      </c>
      <c r="I166" s="19">
        <f>IF(F166="是",VLOOKUP(G166,[32]Sheet2!A:C,3,FALSE),VLOOKUP(G166,[32]Sheet2!A:B,2,FALSE))</f>
        <v>600</v>
      </c>
      <c r="J166" s="24" t="s">
        <v>20</v>
      </c>
      <c r="K166" s="25"/>
    </row>
    <row r="167" s="6" customFormat="1" ht="31" customHeight="1" spans="1:11">
      <c r="A167" s="19">
        <v>163</v>
      </c>
      <c r="B167" s="26" t="s">
        <v>184</v>
      </c>
      <c r="C167" s="26" t="s">
        <v>185</v>
      </c>
      <c r="D167" s="26" t="s">
        <v>204</v>
      </c>
      <c r="E167" s="27" t="s">
        <v>17</v>
      </c>
      <c r="F167" s="26" t="s">
        <v>18</v>
      </c>
      <c r="G167" s="26" t="s">
        <v>19</v>
      </c>
      <c r="H167" s="28">
        <v>45292</v>
      </c>
      <c r="I167" s="19">
        <f>IF(F167="是",VLOOKUP(G167,[32]Sheet2!A:C,3,FALSE),VLOOKUP(G167,[32]Sheet2!A:B,2,FALSE))</f>
        <v>600</v>
      </c>
      <c r="J167" s="24" t="s">
        <v>20</v>
      </c>
      <c r="K167" s="25"/>
    </row>
    <row r="168" s="6" customFormat="1" ht="31" customHeight="1" spans="1:11">
      <c r="A168" s="19">
        <v>164</v>
      </c>
      <c r="B168" s="26" t="s">
        <v>184</v>
      </c>
      <c r="C168" s="26" t="s">
        <v>185</v>
      </c>
      <c r="D168" s="26" t="s">
        <v>205</v>
      </c>
      <c r="E168" s="27" t="s">
        <v>17</v>
      </c>
      <c r="F168" s="26" t="s">
        <v>18</v>
      </c>
      <c r="G168" s="26" t="s">
        <v>19</v>
      </c>
      <c r="H168" s="28">
        <v>45292</v>
      </c>
      <c r="I168" s="19">
        <f>IF(F168="是",VLOOKUP(G168,[32]Sheet2!A:C,3,FALSE),VLOOKUP(G168,[32]Sheet2!A:B,2,FALSE))</f>
        <v>600</v>
      </c>
      <c r="J168" s="24" t="s">
        <v>20</v>
      </c>
      <c r="K168" s="25"/>
    </row>
    <row r="169" s="6" customFormat="1" ht="31" customHeight="1" spans="1:11">
      <c r="A169" s="19">
        <v>165</v>
      </c>
      <c r="B169" s="26" t="s">
        <v>184</v>
      </c>
      <c r="C169" s="26" t="s">
        <v>185</v>
      </c>
      <c r="D169" s="26" t="s">
        <v>206</v>
      </c>
      <c r="E169" s="27" t="s">
        <v>17</v>
      </c>
      <c r="F169" s="26" t="s">
        <v>18</v>
      </c>
      <c r="G169" s="26" t="s">
        <v>19</v>
      </c>
      <c r="H169" s="28">
        <v>45292</v>
      </c>
      <c r="I169" s="19">
        <f>IF(F169="是",VLOOKUP(G169,[32]Sheet2!A:C,3,FALSE),VLOOKUP(G169,[32]Sheet2!A:B,2,FALSE))</f>
        <v>600</v>
      </c>
      <c r="J169" s="24" t="s">
        <v>20</v>
      </c>
      <c r="K169" s="25"/>
    </row>
    <row r="170" s="6" customFormat="1" ht="31" customHeight="1" spans="1:11">
      <c r="A170" s="19">
        <v>166</v>
      </c>
      <c r="B170" s="26" t="s">
        <v>184</v>
      </c>
      <c r="C170" s="26" t="s">
        <v>185</v>
      </c>
      <c r="D170" s="26" t="s">
        <v>207</v>
      </c>
      <c r="E170" s="27" t="s">
        <v>17</v>
      </c>
      <c r="F170" s="26" t="s">
        <v>18</v>
      </c>
      <c r="G170" s="26" t="s">
        <v>19</v>
      </c>
      <c r="H170" s="28">
        <v>45292</v>
      </c>
      <c r="I170" s="19">
        <f>IF(F170="是",VLOOKUP(G170,[32]Sheet2!A:C,3,FALSE),VLOOKUP(G170,[32]Sheet2!A:B,2,FALSE))</f>
        <v>600</v>
      </c>
      <c r="J170" s="24" t="s">
        <v>20</v>
      </c>
      <c r="K170" s="25"/>
    </row>
    <row r="171" s="6" customFormat="1" ht="31" customHeight="1" spans="1:11">
      <c r="A171" s="19">
        <v>167</v>
      </c>
      <c r="B171" s="26" t="s">
        <v>184</v>
      </c>
      <c r="C171" s="26" t="s">
        <v>185</v>
      </c>
      <c r="D171" s="26" t="s">
        <v>208</v>
      </c>
      <c r="E171" s="27" t="s">
        <v>17</v>
      </c>
      <c r="F171" s="26" t="s">
        <v>18</v>
      </c>
      <c r="G171" s="26" t="s">
        <v>19</v>
      </c>
      <c r="H171" s="28">
        <v>45383</v>
      </c>
      <c r="I171" s="19">
        <f>IF(F171="是",VLOOKUP(G171,[32]Sheet2!A:C,3,FALSE),VLOOKUP(G171,[32]Sheet2!A:B,2,FALSE))</f>
        <v>600</v>
      </c>
      <c r="J171" s="24" t="s">
        <v>20</v>
      </c>
      <c r="K171" s="25"/>
    </row>
    <row r="172" s="6" customFormat="1" ht="31" customHeight="1" spans="1:11">
      <c r="A172" s="19">
        <v>168</v>
      </c>
      <c r="B172" s="26" t="s">
        <v>184</v>
      </c>
      <c r="C172" s="26" t="s">
        <v>209</v>
      </c>
      <c r="D172" s="26" t="s">
        <v>210</v>
      </c>
      <c r="E172" s="27" t="s">
        <v>17</v>
      </c>
      <c r="F172" s="26" t="s">
        <v>18</v>
      </c>
      <c r="G172" s="26" t="s">
        <v>19</v>
      </c>
      <c r="H172" s="28">
        <v>45292</v>
      </c>
      <c r="I172" s="19">
        <f>IF(F172="是",VLOOKUP(G172,[32]Sheet2!A:C,3,FALSE),VLOOKUP(G172,[32]Sheet2!A:B,2,FALSE))</f>
        <v>600</v>
      </c>
      <c r="J172" s="24" t="s">
        <v>20</v>
      </c>
      <c r="K172" s="25"/>
    </row>
    <row r="173" s="6" customFormat="1" ht="31" customHeight="1" spans="1:11">
      <c r="A173" s="19">
        <v>169</v>
      </c>
      <c r="B173" s="26" t="s">
        <v>184</v>
      </c>
      <c r="C173" s="26" t="s">
        <v>209</v>
      </c>
      <c r="D173" s="26" t="s">
        <v>211</v>
      </c>
      <c r="E173" s="27" t="s">
        <v>17</v>
      </c>
      <c r="F173" s="26" t="s">
        <v>18</v>
      </c>
      <c r="G173" s="26" t="s">
        <v>19</v>
      </c>
      <c r="H173" s="30">
        <v>45323</v>
      </c>
      <c r="I173" s="19">
        <f>IF(F173="是",VLOOKUP(G173,[32]Sheet2!A:C,3,FALSE),VLOOKUP(G173,[32]Sheet2!A:B,2,FALSE))</f>
        <v>600</v>
      </c>
      <c r="J173" s="24" t="s">
        <v>20</v>
      </c>
      <c r="K173" s="25"/>
    </row>
    <row r="174" s="6" customFormat="1" ht="31" customHeight="1" spans="1:11">
      <c r="A174" s="19">
        <v>170</v>
      </c>
      <c r="B174" s="26" t="s">
        <v>184</v>
      </c>
      <c r="C174" s="26" t="s">
        <v>209</v>
      </c>
      <c r="D174" s="26" t="s">
        <v>212</v>
      </c>
      <c r="E174" s="27" t="s">
        <v>17</v>
      </c>
      <c r="F174" s="26" t="s">
        <v>18</v>
      </c>
      <c r="G174" s="26" t="s">
        <v>19</v>
      </c>
      <c r="H174" s="30">
        <v>45324</v>
      </c>
      <c r="I174" s="19">
        <f>IF(F174="是",VLOOKUP(G174,[32]Sheet2!A:C,3,FALSE),VLOOKUP(G174,[32]Sheet2!A:B,2,FALSE))</f>
        <v>600</v>
      </c>
      <c r="J174" s="24" t="s">
        <v>20</v>
      </c>
      <c r="K174" s="25"/>
    </row>
    <row r="175" s="6" customFormat="1" ht="31" customHeight="1" spans="1:11">
      <c r="A175" s="19">
        <v>171</v>
      </c>
      <c r="B175" s="26" t="s">
        <v>184</v>
      </c>
      <c r="C175" s="26" t="s">
        <v>209</v>
      </c>
      <c r="D175" s="26" t="s">
        <v>213</v>
      </c>
      <c r="E175" s="27" t="s">
        <v>17</v>
      </c>
      <c r="F175" s="26" t="s">
        <v>18</v>
      </c>
      <c r="G175" s="26" t="s">
        <v>98</v>
      </c>
      <c r="H175" s="30">
        <v>45292</v>
      </c>
      <c r="I175" s="19">
        <f>IF(F175="是",VLOOKUP(G175,[32]Sheet2!A:C,3,FALSE),VLOOKUP(G175,[32]Sheet2!A:B,2,FALSE))</f>
        <v>800</v>
      </c>
      <c r="J175" s="24" t="s">
        <v>20</v>
      </c>
      <c r="K175" s="25"/>
    </row>
    <row r="176" s="6" customFormat="1" ht="31" customHeight="1" spans="1:11">
      <c r="A176" s="19">
        <v>172</v>
      </c>
      <c r="B176" s="26" t="s">
        <v>184</v>
      </c>
      <c r="C176" s="26" t="s">
        <v>209</v>
      </c>
      <c r="D176" s="26" t="s">
        <v>214</v>
      </c>
      <c r="E176" s="27" t="s">
        <v>17</v>
      </c>
      <c r="F176" s="26" t="s">
        <v>18</v>
      </c>
      <c r="G176" s="26" t="s">
        <v>19</v>
      </c>
      <c r="H176" s="28">
        <v>45322</v>
      </c>
      <c r="I176" s="19">
        <f>IF(F176="是",VLOOKUP(G176,[32]Sheet2!A:C,3,FALSE),VLOOKUP(G176,[32]Sheet2!A:B,2,FALSE))</f>
        <v>600</v>
      </c>
      <c r="J176" s="24" t="s">
        <v>20</v>
      </c>
      <c r="K176" s="25"/>
    </row>
    <row r="177" s="6" customFormat="1" ht="31" customHeight="1" spans="1:11">
      <c r="A177" s="19">
        <v>173</v>
      </c>
      <c r="B177" s="26" t="s">
        <v>184</v>
      </c>
      <c r="C177" s="26" t="s">
        <v>209</v>
      </c>
      <c r="D177" s="26" t="s">
        <v>215</v>
      </c>
      <c r="E177" s="27" t="s">
        <v>17</v>
      </c>
      <c r="F177" s="26" t="s">
        <v>18</v>
      </c>
      <c r="G177" s="26" t="s">
        <v>19</v>
      </c>
      <c r="H177" s="28">
        <v>45413</v>
      </c>
      <c r="I177" s="19">
        <f>IF(F177="是",VLOOKUP(G177,[32]Sheet2!A:C,3,FALSE),VLOOKUP(G177,[32]Sheet2!A:B,2,FALSE))</f>
        <v>600</v>
      </c>
      <c r="J177" s="24" t="s">
        <v>20</v>
      </c>
      <c r="K177" s="25"/>
    </row>
    <row r="178" s="6" customFormat="1" ht="31" customHeight="1" spans="1:11">
      <c r="A178" s="19">
        <v>174</v>
      </c>
      <c r="B178" s="26" t="s">
        <v>184</v>
      </c>
      <c r="C178" s="26" t="s">
        <v>209</v>
      </c>
      <c r="D178" s="26" t="s">
        <v>216</v>
      </c>
      <c r="E178" s="27" t="s">
        <v>17</v>
      </c>
      <c r="F178" s="26" t="s">
        <v>18</v>
      </c>
      <c r="G178" s="26" t="s">
        <v>19</v>
      </c>
      <c r="H178" s="30">
        <v>45323</v>
      </c>
      <c r="I178" s="19">
        <f>IF(F178="是",VLOOKUP(G178,[32]Sheet2!A:C,3,FALSE),VLOOKUP(G178,[32]Sheet2!A:B,2,FALSE))</f>
        <v>600</v>
      </c>
      <c r="J178" s="24" t="s">
        <v>20</v>
      </c>
      <c r="K178" s="25"/>
    </row>
    <row r="179" s="6" customFormat="1" ht="31" customHeight="1" spans="1:11">
      <c r="A179" s="19">
        <v>175</v>
      </c>
      <c r="B179" s="26" t="s">
        <v>184</v>
      </c>
      <c r="C179" s="26" t="s">
        <v>209</v>
      </c>
      <c r="D179" s="26" t="s">
        <v>217</v>
      </c>
      <c r="E179" s="27" t="s">
        <v>17</v>
      </c>
      <c r="F179" s="26" t="s">
        <v>18</v>
      </c>
      <c r="G179" s="26" t="s">
        <v>19</v>
      </c>
      <c r="H179" s="28">
        <v>45383</v>
      </c>
      <c r="I179" s="19">
        <f>IF(F179="是",VLOOKUP(G179,[32]Sheet2!A:C,3,FALSE),VLOOKUP(G179,[32]Sheet2!A:B,2,FALSE))</f>
        <v>600</v>
      </c>
      <c r="J179" s="24" t="s">
        <v>20</v>
      </c>
      <c r="K179" s="25"/>
    </row>
    <row r="180" s="6" customFormat="1" ht="31" customHeight="1" spans="1:11">
      <c r="A180" s="19">
        <v>176</v>
      </c>
      <c r="B180" s="26" t="s">
        <v>184</v>
      </c>
      <c r="C180" s="26" t="s">
        <v>209</v>
      </c>
      <c r="D180" s="26" t="s">
        <v>218</v>
      </c>
      <c r="E180" s="27" t="s">
        <v>17</v>
      </c>
      <c r="F180" s="26" t="s">
        <v>18</v>
      </c>
      <c r="G180" s="26" t="s">
        <v>19</v>
      </c>
      <c r="H180" s="30">
        <v>45323</v>
      </c>
      <c r="I180" s="19">
        <f>IF(F180="是",VLOOKUP(G180,[32]Sheet2!A:C,3,FALSE),VLOOKUP(G180,[32]Sheet2!A:B,2,FALSE))</f>
        <v>600</v>
      </c>
      <c r="J180" s="24" t="s">
        <v>20</v>
      </c>
      <c r="K180" s="25"/>
    </row>
    <row r="181" s="6" customFormat="1" ht="31" customHeight="1" spans="1:11">
      <c r="A181" s="19">
        <v>177</v>
      </c>
      <c r="B181" s="26" t="s">
        <v>184</v>
      </c>
      <c r="C181" s="26" t="s">
        <v>209</v>
      </c>
      <c r="D181" s="26" t="s">
        <v>219</v>
      </c>
      <c r="E181" s="27" t="s">
        <v>17</v>
      </c>
      <c r="F181" s="26" t="s">
        <v>18</v>
      </c>
      <c r="G181" s="26" t="s">
        <v>19</v>
      </c>
      <c r="H181" s="30">
        <v>45323</v>
      </c>
      <c r="I181" s="19">
        <f>IF(F181="是",VLOOKUP(G181,[32]Sheet2!A:C,3,FALSE),VLOOKUP(G181,[32]Sheet2!A:B,2,FALSE))</f>
        <v>600</v>
      </c>
      <c r="J181" s="24" t="s">
        <v>20</v>
      </c>
      <c r="K181" s="25"/>
    </row>
    <row r="182" s="6" customFormat="1" ht="31" customHeight="1" spans="1:11">
      <c r="A182" s="19">
        <v>178</v>
      </c>
      <c r="B182" s="26" t="s">
        <v>184</v>
      </c>
      <c r="C182" s="26" t="s">
        <v>209</v>
      </c>
      <c r="D182" s="26" t="s">
        <v>220</v>
      </c>
      <c r="E182" s="27" t="s">
        <v>17</v>
      </c>
      <c r="F182" s="26" t="s">
        <v>18</v>
      </c>
      <c r="G182" s="26" t="s">
        <v>19</v>
      </c>
      <c r="H182" s="30">
        <v>45348</v>
      </c>
      <c r="I182" s="19">
        <f>IF(F182="是",VLOOKUP(G182,[32]Sheet2!A:C,3,FALSE),VLOOKUP(G182,[32]Sheet2!A:B,2,FALSE))</f>
        <v>600</v>
      </c>
      <c r="J182" s="24" t="s">
        <v>20</v>
      </c>
      <c r="K182" s="25"/>
    </row>
    <row r="183" s="6" customFormat="1" ht="31" customHeight="1" spans="1:11">
      <c r="A183" s="19">
        <v>179</v>
      </c>
      <c r="B183" s="26" t="s">
        <v>184</v>
      </c>
      <c r="C183" s="26" t="s">
        <v>209</v>
      </c>
      <c r="D183" s="26" t="s">
        <v>221</v>
      </c>
      <c r="E183" s="27" t="s">
        <v>17</v>
      </c>
      <c r="F183" s="26" t="s">
        <v>18</v>
      </c>
      <c r="G183" s="26" t="s">
        <v>19</v>
      </c>
      <c r="H183" s="30">
        <v>45306</v>
      </c>
      <c r="I183" s="19">
        <f>IF(F183="是",VLOOKUP(G183,[32]Sheet2!A:C,3,FALSE),VLOOKUP(G183,[32]Sheet2!A:B,2,FALSE))</f>
        <v>600</v>
      </c>
      <c r="J183" s="24" t="s">
        <v>20</v>
      </c>
      <c r="K183" s="25"/>
    </row>
    <row r="184" s="6" customFormat="1" ht="31" customHeight="1" spans="1:11">
      <c r="A184" s="19">
        <v>180</v>
      </c>
      <c r="B184" s="26" t="s">
        <v>184</v>
      </c>
      <c r="C184" s="26" t="s">
        <v>209</v>
      </c>
      <c r="D184" s="26" t="s">
        <v>222</v>
      </c>
      <c r="E184" s="27" t="s">
        <v>17</v>
      </c>
      <c r="F184" s="26" t="s">
        <v>18</v>
      </c>
      <c r="G184" s="26" t="s">
        <v>19</v>
      </c>
      <c r="H184" s="30">
        <v>45323</v>
      </c>
      <c r="I184" s="19">
        <f>IF(F184="是",VLOOKUP(G184,[32]Sheet2!A:C,3,FALSE),VLOOKUP(G184,[32]Sheet2!A:B,2,FALSE))</f>
        <v>600</v>
      </c>
      <c r="J184" s="24" t="s">
        <v>20</v>
      </c>
      <c r="K184" s="25"/>
    </row>
    <row r="185" s="6" customFormat="1" ht="31" customHeight="1" spans="1:11">
      <c r="A185" s="19">
        <v>181</v>
      </c>
      <c r="B185" s="26" t="s">
        <v>184</v>
      </c>
      <c r="C185" s="26" t="s">
        <v>209</v>
      </c>
      <c r="D185" s="26" t="s">
        <v>223</v>
      </c>
      <c r="E185" s="27" t="s">
        <v>17</v>
      </c>
      <c r="F185" s="26" t="s">
        <v>18</v>
      </c>
      <c r="G185" s="26" t="s">
        <v>19</v>
      </c>
      <c r="H185" s="30">
        <v>45323</v>
      </c>
      <c r="I185" s="19">
        <f>IF(F185="是",VLOOKUP(G185,[32]Sheet2!A:C,3,FALSE),VLOOKUP(G185,[32]Sheet2!A:B,2,FALSE))</f>
        <v>600</v>
      </c>
      <c r="J185" s="24" t="s">
        <v>20</v>
      </c>
      <c r="K185" s="25"/>
    </row>
    <row r="186" s="6" customFormat="1" ht="31" customHeight="1" spans="1:11">
      <c r="A186" s="19">
        <v>182</v>
      </c>
      <c r="B186" s="26" t="s">
        <v>184</v>
      </c>
      <c r="C186" s="26" t="s">
        <v>224</v>
      </c>
      <c r="D186" s="26" t="s">
        <v>225</v>
      </c>
      <c r="E186" s="27" t="s">
        <v>17</v>
      </c>
      <c r="F186" s="26" t="s">
        <v>18</v>
      </c>
      <c r="G186" s="26" t="s">
        <v>19</v>
      </c>
      <c r="H186" s="30">
        <v>45323</v>
      </c>
      <c r="I186" s="19">
        <f>IF(F186="是",VLOOKUP(G186,[32]Sheet2!A:C,3,FALSE),VLOOKUP(G186,[32]Sheet2!A:B,2,FALSE))</f>
        <v>600</v>
      </c>
      <c r="J186" s="24" t="s">
        <v>20</v>
      </c>
      <c r="K186" s="25"/>
    </row>
    <row r="187" s="6" customFormat="1" ht="31" customHeight="1" spans="1:11">
      <c r="A187" s="19">
        <v>183</v>
      </c>
      <c r="B187" s="26" t="s">
        <v>184</v>
      </c>
      <c r="C187" s="26" t="s">
        <v>224</v>
      </c>
      <c r="D187" s="26" t="s">
        <v>226</v>
      </c>
      <c r="E187" s="27" t="s">
        <v>17</v>
      </c>
      <c r="F187" s="26" t="s">
        <v>18</v>
      </c>
      <c r="G187" s="26" t="s">
        <v>19</v>
      </c>
      <c r="H187" s="30">
        <v>45352</v>
      </c>
      <c r="I187" s="19">
        <f>IF(F187="是",VLOOKUP(G187,[32]Sheet2!A:C,3,FALSE),VLOOKUP(G187,[32]Sheet2!A:B,2,FALSE))</f>
        <v>600</v>
      </c>
      <c r="J187" s="24" t="s">
        <v>20</v>
      </c>
      <c r="K187" s="25"/>
    </row>
    <row r="188" s="6" customFormat="1" ht="31" customHeight="1" spans="1:11">
      <c r="A188" s="19">
        <v>184</v>
      </c>
      <c r="B188" s="26" t="s">
        <v>184</v>
      </c>
      <c r="C188" s="26" t="s">
        <v>224</v>
      </c>
      <c r="D188" s="26" t="s">
        <v>227</v>
      </c>
      <c r="E188" s="27" t="s">
        <v>17</v>
      </c>
      <c r="F188" s="26" t="s">
        <v>18</v>
      </c>
      <c r="G188" s="26" t="s">
        <v>19</v>
      </c>
      <c r="H188" s="30">
        <v>45353</v>
      </c>
      <c r="I188" s="19">
        <f>IF(F188="是",VLOOKUP(G188,[32]Sheet2!A:C,3,FALSE),VLOOKUP(G188,[32]Sheet2!A:B,2,FALSE))</f>
        <v>600</v>
      </c>
      <c r="J188" s="24" t="s">
        <v>20</v>
      </c>
      <c r="K188" s="25"/>
    </row>
    <row r="189" s="6" customFormat="1" ht="31" customHeight="1" spans="1:11">
      <c r="A189" s="19">
        <v>185</v>
      </c>
      <c r="B189" s="26" t="s">
        <v>184</v>
      </c>
      <c r="C189" s="26" t="s">
        <v>224</v>
      </c>
      <c r="D189" s="26" t="s">
        <v>228</v>
      </c>
      <c r="E189" s="27" t="s">
        <v>17</v>
      </c>
      <c r="F189" s="26" t="s">
        <v>18</v>
      </c>
      <c r="G189" s="26" t="s">
        <v>19</v>
      </c>
      <c r="H189" s="30">
        <v>45354</v>
      </c>
      <c r="I189" s="19">
        <f>IF(F189="是",VLOOKUP(G189,[32]Sheet2!A:C,3,FALSE),VLOOKUP(G189,[32]Sheet2!A:B,2,FALSE))</f>
        <v>600</v>
      </c>
      <c r="J189" s="24" t="s">
        <v>20</v>
      </c>
      <c r="K189" s="25"/>
    </row>
    <row r="190" s="6" customFormat="1" ht="31" customHeight="1" spans="1:11">
      <c r="A190" s="19">
        <v>186</v>
      </c>
      <c r="B190" s="26" t="s">
        <v>184</v>
      </c>
      <c r="C190" s="26" t="s">
        <v>224</v>
      </c>
      <c r="D190" s="26" t="s">
        <v>229</v>
      </c>
      <c r="E190" s="27" t="s">
        <v>17</v>
      </c>
      <c r="F190" s="26" t="s">
        <v>18</v>
      </c>
      <c r="G190" s="26" t="s">
        <v>19</v>
      </c>
      <c r="H190" s="30">
        <v>45355</v>
      </c>
      <c r="I190" s="19">
        <f>IF(F190="是",VLOOKUP(G190,[32]Sheet2!A:C,3,FALSE),VLOOKUP(G190,[32]Sheet2!A:B,2,FALSE))</f>
        <v>600</v>
      </c>
      <c r="J190" s="24" t="s">
        <v>20</v>
      </c>
      <c r="K190" s="25"/>
    </row>
    <row r="191" s="6" customFormat="1" ht="31" customHeight="1" spans="1:11">
      <c r="A191" s="19">
        <v>187</v>
      </c>
      <c r="B191" s="26" t="s">
        <v>184</v>
      </c>
      <c r="C191" s="26" t="s">
        <v>224</v>
      </c>
      <c r="D191" s="26" t="s">
        <v>230</v>
      </c>
      <c r="E191" s="27" t="s">
        <v>17</v>
      </c>
      <c r="F191" s="26" t="s">
        <v>18</v>
      </c>
      <c r="G191" s="26" t="s">
        <v>19</v>
      </c>
      <c r="H191" s="30">
        <v>45356</v>
      </c>
      <c r="I191" s="19">
        <f>IF(F191="是",VLOOKUP(G191,[32]Sheet2!A:C,3,FALSE),VLOOKUP(G191,[32]Sheet2!A:B,2,FALSE))</f>
        <v>600</v>
      </c>
      <c r="J191" s="24" t="s">
        <v>20</v>
      </c>
      <c r="K191" s="25"/>
    </row>
    <row r="192" s="6" customFormat="1" ht="31" customHeight="1" spans="1:11">
      <c r="A192" s="19">
        <v>188</v>
      </c>
      <c r="B192" s="26" t="s">
        <v>184</v>
      </c>
      <c r="C192" s="26" t="s">
        <v>224</v>
      </c>
      <c r="D192" s="26" t="s">
        <v>231</v>
      </c>
      <c r="E192" s="27" t="s">
        <v>17</v>
      </c>
      <c r="F192" s="26" t="s">
        <v>18</v>
      </c>
      <c r="G192" s="26" t="s">
        <v>19</v>
      </c>
      <c r="H192" s="30">
        <v>45357</v>
      </c>
      <c r="I192" s="19">
        <f>IF(F192="是",VLOOKUP(G192,[32]Sheet2!A:C,3,FALSE),VLOOKUP(G192,[32]Sheet2!A:B,2,FALSE))</f>
        <v>600</v>
      </c>
      <c r="J192" s="24" t="s">
        <v>20</v>
      </c>
      <c r="K192" s="25"/>
    </row>
    <row r="193" s="6" customFormat="1" ht="31" customHeight="1" spans="1:11">
      <c r="A193" s="19">
        <v>189</v>
      </c>
      <c r="B193" s="26" t="s">
        <v>184</v>
      </c>
      <c r="C193" s="26" t="s">
        <v>224</v>
      </c>
      <c r="D193" s="26" t="s">
        <v>232</v>
      </c>
      <c r="E193" s="27" t="s">
        <v>17</v>
      </c>
      <c r="F193" s="26" t="s">
        <v>18</v>
      </c>
      <c r="G193" s="26" t="s">
        <v>19</v>
      </c>
      <c r="H193" s="30">
        <v>45358</v>
      </c>
      <c r="I193" s="19">
        <f>IF(F193="是",VLOOKUP(G193,[32]Sheet2!A:C,3,FALSE),VLOOKUP(G193,[32]Sheet2!A:B,2,FALSE))</f>
        <v>600</v>
      </c>
      <c r="J193" s="24" t="s">
        <v>20</v>
      </c>
      <c r="K193" s="25"/>
    </row>
    <row r="194" s="6" customFormat="1" ht="31" customHeight="1" spans="1:11">
      <c r="A194" s="19">
        <v>190</v>
      </c>
      <c r="B194" s="26" t="s">
        <v>184</v>
      </c>
      <c r="C194" s="26" t="s">
        <v>224</v>
      </c>
      <c r="D194" s="26" t="s">
        <v>233</v>
      </c>
      <c r="E194" s="27" t="s">
        <v>17</v>
      </c>
      <c r="F194" s="26" t="s">
        <v>18</v>
      </c>
      <c r="G194" s="26" t="s">
        <v>19</v>
      </c>
      <c r="H194" s="30">
        <v>45359</v>
      </c>
      <c r="I194" s="19">
        <f>IF(F194="是",VLOOKUP(G194,[32]Sheet2!A:C,3,FALSE),VLOOKUP(G194,[32]Sheet2!A:B,2,FALSE))</f>
        <v>600</v>
      </c>
      <c r="J194" s="24" t="s">
        <v>20</v>
      </c>
      <c r="K194" s="25"/>
    </row>
    <row r="195" s="6" customFormat="1" ht="31" customHeight="1" spans="1:11">
      <c r="A195" s="19">
        <v>191</v>
      </c>
      <c r="B195" s="26" t="s">
        <v>184</v>
      </c>
      <c r="C195" s="26" t="s">
        <v>224</v>
      </c>
      <c r="D195" s="26" t="s">
        <v>234</v>
      </c>
      <c r="E195" s="27" t="s">
        <v>17</v>
      </c>
      <c r="F195" s="26" t="s">
        <v>18</v>
      </c>
      <c r="G195" s="26" t="s">
        <v>19</v>
      </c>
      <c r="H195" s="30">
        <v>45323</v>
      </c>
      <c r="I195" s="19">
        <f>IF(F195="是",VLOOKUP(G195,[32]Sheet2!A:C,3,FALSE),VLOOKUP(G195,[32]Sheet2!A:B,2,FALSE))</f>
        <v>600</v>
      </c>
      <c r="J195" s="24" t="s">
        <v>20</v>
      </c>
      <c r="K195" s="25"/>
    </row>
    <row r="196" s="6" customFormat="1" ht="31" customHeight="1" spans="1:11">
      <c r="A196" s="19">
        <v>192</v>
      </c>
      <c r="B196" s="26" t="s">
        <v>184</v>
      </c>
      <c r="C196" s="26" t="s">
        <v>224</v>
      </c>
      <c r="D196" s="26" t="s">
        <v>235</v>
      </c>
      <c r="E196" s="27" t="s">
        <v>17</v>
      </c>
      <c r="F196" s="26" t="s">
        <v>18</v>
      </c>
      <c r="G196" s="26" t="s">
        <v>19</v>
      </c>
      <c r="H196" s="28">
        <v>45323</v>
      </c>
      <c r="I196" s="19">
        <f>IF(F196="是",VLOOKUP(G196,[32]Sheet2!A:C,3,FALSE),VLOOKUP(G196,[32]Sheet2!A:B,2,FALSE))</f>
        <v>600</v>
      </c>
      <c r="J196" s="24" t="s">
        <v>20</v>
      </c>
      <c r="K196" s="25"/>
    </row>
    <row r="197" s="6" customFormat="1" ht="31" customHeight="1" spans="1:11">
      <c r="A197" s="19">
        <v>193</v>
      </c>
      <c r="B197" s="26" t="s">
        <v>184</v>
      </c>
      <c r="C197" s="26" t="s">
        <v>224</v>
      </c>
      <c r="D197" s="26" t="s">
        <v>236</v>
      </c>
      <c r="E197" s="26" t="s">
        <v>17</v>
      </c>
      <c r="F197" s="26" t="s">
        <v>18</v>
      </c>
      <c r="G197" s="26" t="s">
        <v>19</v>
      </c>
      <c r="H197" s="28">
        <v>45323</v>
      </c>
      <c r="I197" s="19">
        <f>IF(F197="是",VLOOKUP(G197,[32]Sheet2!A:C,3,FALSE),VLOOKUP(G197,[32]Sheet2!A:B,2,FALSE))</f>
        <v>600</v>
      </c>
      <c r="J197" s="24" t="s">
        <v>20</v>
      </c>
      <c r="K197" s="25"/>
    </row>
    <row r="198" s="6" customFormat="1" ht="31" customHeight="1" spans="1:11">
      <c r="A198" s="19">
        <v>194</v>
      </c>
      <c r="B198" s="26" t="s">
        <v>184</v>
      </c>
      <c r="C198" s="26" t="s">
        <v>224</v>
      </c>
      <c r="D198" s="26" t="s">
        <v>237</v>
      </c>
      <c r="E198" s="26" t="s">
        <v>17</v>
      </c>
      <c r="F198" s="26" t="s">
        <v>18</v>
      </c>
      <c r="G198" s="26" t="s">
        <v>19</v>
      </c>
      <c r="H198" s="28" t="s">
        <v>238</v>
      </c>
      <c r="I198" s="19">
        <f>IF(F198="是",VLOOKUP(G198,[32]Sheet2!A:C,3,FALSE),VLOOKUP(G198,[32]Sheet2!A:B,2,FALSE))</f>
        <v>600</v>
      </c>
      <c r="J198" s="24" t="s">
        <v>20</v>
      </c>
      <c r="K198" s="25"/>
    </row>
    <row r="199" s="6" customFormat="1" ht="31" customHeight="1" spans="1:11">
      <c r="A199" s="19">
        <v>195</v>
      </c>
      <c r="B199" s="26" t="s">
        <v>184</v>
      </c>
      <c r="C199" s="26" t="s">
        <v>224</v>
      </c>
      <c r="D199" s="26" t="s">
        <v>239</v>
      </c>
      <c r="E199" s="26" t="s">
        <v>17</v>
      </c>
      <c r="F199" s="26" t="s">
        <v>18</v>
      </c>
      <c r="G199" s="26" t="s">
        <v>19</v>
      </c>
      <c r="H199" s="28">
        <v>45323</v>
      </c>
      <c r="I199" s="19">
        <f>IF(F199="是",VLOOKUP(G199,[32]Sheet2!A:C,3,FALSE),VLOOKUP(G199,[32]Sheet2!A:B,2,FALSE))</f>
        <v>600</v>
      </c>
      <c r="J199" s="24" t="s">
        <v>20</v>
      </c>
      <c r="K199" s="25"/>
    </row>
    <row r="200" s="6" customFormat="1" ht="31" customHeight="1" spans="1:11">
      <c r="A200" s="19">
        <v>196</v>
      </c>
      <c r="B200" s="26" t="s">
        <v>184</v>
      </c>
      <c r="C200" s="26" t="s">
        <v>224</v>
      </c>
      <c r="D200" s="26" t="s">
        <v>240</v>
      </c>
      <c r="E200" s="26" t="s">
        <v>17</v>
      </c>
      <c r="F200" s="26" t="s">
        <v>18</v>
      </c>
      <c r="G200" s="26" t="s">
        <v>19</v>
      </c>
      <c r="H200" s="28" t="s">
        <v>238</v>
      </c>
      <c r="I200" s="19">
        <f>IF(F200="是",VLOOKUP(G200,[32]Sheet2!A:C,3,FALSE),VLOOKUP(G200,[32]Sheet2!A:B,2,FALSE))</f>
        <v>600</v>
      </c>
      <c r="J200" s="24" t="s">
        <v>20</v>
      </c>
      <c r="K200" s="25"/>
    </row>
    <row r="201" s="6" customFormat="1" ht="31" customHeight="1" spans="1:11">
      <c r="A201" s="19">
        <v>197</v>
      </c>
      <c r="B201" s="26" t="s">
        <v>184</v>
      </c>
      <c r="C201" s="26" t="s">
        <v>241</v>
      </c>
      <c r="D201" s="26" t="s">
        <v>242</v>
      </c>
      <c r="E201" s="27" t="s">
        <v>17</v>
      </c>
      <c r="F201" s="26" t="s">
        <v>18</v>
      </c>
      <c r="G201" s="26" t="s">
        <v>32</v>
      </c>
      <c r="H201" s="28">
        <v>45292</v>
      </c>
      <c r="I201" s="19">
        <f>IF(F201="是",VLOOKUP(G201,[32]Sheet2!A:C,3,FALSE),VLOOKUP(G201,[32]Sheet2!A:B,2,FALSE))</f>
        <v>800</v>
      </c>
      <c r="J201" s="24" t="s">
        <v>20</v>
      </c>
      <c r="K201" s="25"/>
    </row>
    <row r="202" s="6" customFormat="1" ht="31" customHeight="1" spans="1:11">
      <c r="A202" s="19">
        <v>198</v>
      </c>
      <c r="B202" s="26" t="s">
        <v>184</v>
      </c>
      <c r="C202" s="26" t="s">
        <v>241</v>
      </c>
      <c r="D202" s="26" t="s">
        <v>243</v>
      </c>
      <c r="E202" s="27" t="s">
        <v>17</v>
      </c>
      <c r="F202" s="26" t="s">
        <v>18</v>
      </c>
      <c r="G202" s="26" t="s">
        <v>19</v>
      </c>
      <c r="H202" s="28">
        <v>45323</v>
      </c>
      <c r="I202" s="19">
        <f>IF(F202="是",VLOOKUP(G202,[32]Sheet2!A:C,3,FALSE),VLOOKUP(G202,[32]Sheet2!A:B,2,FALSE))</f>
        <v>600</v>
      </c>
      <c r="J202" s="24" t="s">
        <v>20</v>
      </c>
      <c r="K202" s="25"/>
    </row>
    <row r="203" s="6" customFormat="1" ht="31" customHeight="1" spans="1:11">
      <c r="A203" s="19">
        <v>199</v>
      </c>
      <c r="B203" s="26" t="s">
        <v>184</v>
      </c>
      <c r="C203" s="26" t="s">
        <v>241</v>
      </c>
      <c r="D203" s="26" t="s">
        <v>244</v>
      </c>
      <c r="E203" s="27" t="s">
        <v>17</v>
      </c>
      <c r="F203" s="26" t="s">
        <v>18</v>
      </c>
      <c r="G203" s="26" t="s">
        <v>19</v>
      </c>
      <c r="H203" s="28">
        <v>45323</v>
      </c>
      <c r="I203" s="19">
        <f>IF(F203="是",VLOOKUP(G203,[32]Sheet2!A:C,3,FALSE),VLOOKUP(G203,[32]Sheet2!A:B,2,FALSE))</f>
        <v>600</v>
      </c>
      <c r="J203" s="24" t="s">
        <v>20</v>
      </c>
      <c r="K203" s="25"/>
    </row>
    <row r="204" s="6" customFormat="1" ht="31" customHeight="1" spans="1:11">
      <c r="A204" s="19">
        <v>200</v>
      </c>
      <c r="B204" s="26" t="s">
        <v>184</v>
      </c>
      <c r="C204" s="26" t="s">
        <v>245</v>
      </c>
      <c r="D204" s="26" t="s">
        <v>246</v>
      </c>
      <c r="E204" s="27" t="s">
        <v>17</v>
      </c>
      <c r="F204" s="26" t="s">
        <v>18</v>
      </c>
      <c r="G204" s="26" t="s">
        <v>19</v>
      </c>
      <c r="H204" s="28">
        <v>45352</v>
      </c>
      <c r="I204" s="19">
        <f>IF(F204="是",VLOOKUP(G204,[32]Sheet2!A:C,3,FALSE),VLOOKUP(G204,[32]Sheet2!A:B,2,FALSE))</f>
        <v>600</v>
      </c>
      <c r="J204" s="24" t="s">
        <v>20</v>
      </c>
      <c r="K204" s="25"/>
    </row>
    <row r="205" s="6" customFormat="1" ht="31" customHeight="1" spans="1:11">
      <c r="A205" s="19">
        <v>201</v>
      </c>
      <c r="B205" s="26" t="s">
        <v>184</v>
      </c>
      <c r="C205" s="26" t="s">
        <v>245</v>
      </c>
      <c r="D205" s="26" t="s">
        <v>247</v>
      </c>
      <c r="E205" s="27" t="s">
        <v>17</v>
      </c>
      <c r="F205" s="26" t="s">
        <v>18</v>
      </c>
      <c r="G205" s="26" t="s">
        <v>29</v>
      </c>
      <c r="H205" s="28">
        <v>45323</v>
      </c>
      <c r="I205" s="19">
        <f>IF(F205="是",VLOOKUP(G205,[32]Sheet2!A:C,3,FALSE),VLOOKUP(G205,[32]Sheet2!A:B,2,FALSE))</f>
        <v>800</v>
      </c>
      <c r="J205" s="24" t="s">
        <v>20</v>
      </c>
      <c r="K205" s="25"/>
    </row>
    <row r="206" s="6" customFormat="1" ht="31" customHeight="1" spans="1:11">
      <c r="A206" s="19">
        <v>202</v>
      </c>
      <c r="B206" s="26" t="s">
        <v>184</v>
      </c>
      <c r="C206" s="26" t="s">
        <v>245</v>
      </c>
      <c r="D206" s="26" t="s">
        <v>248</v>
      </c>
      <c r="E206" s="27" t="s">
        <v>17</v>
      </c>
      <c r="F206" s="26" t="s">
        <v>18</v>
      </c>
      <c r="G206" s="26" t="s">
        <v>19</v>
      </c>
      <c r="H206" s="28">
        <v>45323</v>
      </c>
      <c r="I206" s="19">
        <f>IF(F206="是",VLOOKUP(G206,[32]Sheet2!A:C,3,FALSE),VLOOKUP(G206,[32]Sheet2!A:B,2,FALSE))</f>
        <v>600</v>
      </c>
      <c r="J206" s="24" t="s">
        <v>20</v>
      </c>
      <c r="K206" s="25"/>
    </row>
    <row r="207" s="6" customFormat="1" ht="31" customHeight="1" spans="1:11">
      <c r="A207" s="19">
        <v>203</v>
      </c>
      <c r="B207" s="26" t="s">
        <v>249</v>
      </c>
      <c r="C207" s="26" t="s">
        <v>245</v>
      </c>
      <c r="D207" s="26" t="s">
        <v>250</v>
      </c>
      <c r="E207" s="27" t="s">
        <v>17</v>
      </c>
      <c r="F207" s="26" t="s">
        <v>18</v>
      </c>
      <c r="G207" s="26" t="s">
        <v>19</v>
      </c>
      <c r="H207" s="28">
        <v>45352</v>
      </c>
      <c r="I207" s="19">
        <f>IF(F207="是",VLOOKUP(G207,[32]Sheet2!A:C,3,FALSE),VLOOKUP(G207,[32]Sheet2!A:B,2,FALSE))</f>
        <v>600</v>
      </c>
      <c r="J207" s="24" t="s">
        <v>20</v>
      </c>
      <c r="K207" s="25"/>
    </row>
    <row r="208" s="6" customFormat="1" ht="31" customHeight="1" spans="1:11">
      <c r="A208" s="19">
        <v>204</v>
      </c>
      <c r="B208" s="26" t="s">
        <v>184</v>
      </c>
      <c r="C208" s="26" t="s">
        <v>245</v>
      </c>
      <c r="D208" s="26" t="s">
        <v>251</v>
      </c>
      <c r="E208" s="27" t="s">
        <v>17</v>
      </c>
      <c r="F208" s="26" t="s">
        <v>18</v>
      </c>
      <c r="G208" s="26" t="s">
        <v>19</v>
      </c>
      <c r="H208" s="28">
        <v>45352</v>
      </c>
      <c r="I208" s="19">
        <f>IF(F208="是",VLOOKUP(G208,[32]Sheet2!A:C,3,FALSE),VLOOKUP(G208,[32]Sheet2!A:B,2,FALSE))</f>
        <v>600</v>
      </c>
      <c r="J208" s="24" t="s">
        <v>20</v>
      </c>
      <c r="K208" s="25"/>
    </row>
    <row r="209" s="6" customFormat="1" ht="31" customHeight="1" spans="1:11">
      <c r="A209" s="19">
        <v>205</v>
      </c>
      <c r="B209" s="26" t="s">
        <v>249</v>
      </c>
      <c r="C209" s="26" t="s">
        <v>245</v>
      </c>
      <c r="D209" s="26" t="s">
        <v>252</v>
      </c>
      <c r="E209" s="27" t="s">
        <v>17</v>
      </c>
      <c r="F209" s="26" t="s">
        <v>18</v>
      </c>
      <c r="G209" s="26" t="s">
        <v>19</v>
      </c>
      <c r="H209" s="28">
        <v>45474</v>
      </c>
      <c r="I209" s="19">
        <f>IF(F209="是",VLOOKUP(G209,[32]Sheet2!A:C,3,FALSE),VLOOKUP(G209,[32]Sheet2!A:B,2,FALSE))</f>
        <v>600</v>
      </c>
      <c r="J209" s="24" t="s">
        <v>20</v>
      </c>
      <c r="K209" s="25"/>
    </row>
    <row r="210" s="6" customFormat="1" ht="31" customHeight="1" spans="1:11">
      <c r="A210" s="19">
        <v>206</v>
      </c>
      <c r="B210" s="26" t="s">
        <v>184</v>
      </c>
      <c r="C210" s="26" t="s">
        <v>245</v>
      </c>
      <c r="D210" s="26" t="s">
        <v>253</v>
      </c>
      <c r="E210" s="27" t="s">
        <v>17</v>
      </c>
      <c r="F210" s="26" t="s">
        <v>18</v>
      </c>
      <c r="G210" s="26" t="s">
        <v>98</v>
      </c>
      <c r="H210" s="30">
        <v>45342</v>
      </c>
      <c r="I210" s="19">
        <f>IF(F210="是",VLOOKUP(G210,[32]Sheet2!A:C,3,FALSE),VLOOKUP(G210,[32]Sheet2!A:B,2,FALSE))</f>
        <v>800</v>
      </c>
      <c r="J210" s="24" t="s">
        <v>20</v>
      </c>
      <c r="K210" s="25"/>
    </row>
    <row r="211" s="6" customFormat="1" ht="31" customHeight="1" spans="1:11">
      <c r="A211" s="19">
        <v>207</v>
      </c>
      <c r="B211" s="26" t="s">
        <v>184</v>
      </c>
      <c r="C211" s="26" t="s">
        <v>254</v>
      </c>
      <c r="D211" s="26" t="s">
        <v>255</v>
      </c>
      <c r="E211" s="27" t="s">
        <v>17</v>
      </c>
      <c r="F211" s="26" t="s">
        <v>18</v>
      </c>
      <c r="G211" s="26" t="s">
        <v>19</v>
      </c>
      <c r="H211" s="30">
        <v>45383</v>
      </c>
      <c r="I211" s="19">
        <f>IF(F211="是",VLOOKUP(G211,[32]Sheet2!A:C,3,FALSE),VLOOKUP(G211,[32]Sheet2!A:B,2,FALSE))</f>
        <v>600</v>
      </c>
      <c r="J211" s="24" t="s">
        <v>20</v>
      </c>
      <c r="K211" s="25"/>
    </row>
    <row r="212" s="6" customFormat="1" ht="31" customHeight="1" spans="1:11">
      <c r="A212" s="19">
        <v>208</v>
      </c>
      <c r="B212" s="26" t="s">
        <v>184</v>
      </c>
      <c r="C212" s="26" t="s">
        <v>254</v>
      </c>
      <c r="D212" s="26" t="s">
        <v>256</v>
      </c>
      <c r="E212" s="27" t="s">
        <v>17</v>
      </c>
      <c r="F212" s="26" t="s">
        <v>18</v>
      </c>
      <c r="G212" s="26" t="s">
        <v>19</v>
      </c>
      <c r="H212" s="28">
        <v>45413</v>
      </c>
      <c r="I212" s="19">
        <f>IF(F212="是",VLOOKUP(G212,[32]Sheet2!A:C,3,FALSE),VLOOKUP(G212,[32]Sheet2!A:B,2,FALSE))</f>
        <v>600</v>
      </c>
      <c r="J212" s="24" t="s">
        <v>20</v>
      </c>
      <c r="K212" s="25"/>
    </row>
    <row r="213" s="6" customFormat="1" ht="31" customHeight="1" spans="1:11">
      <c r="A213" s="19">
        <v>209</v>
      </c>
      <c r="B213" s="26" t="s">
        <v>184</v>
      </c>
      <c r="C213" s="26" t="s">
        <v>254</v>
      </c>
      <c r="D213" s="26" t="s">
        <v>257</v>
      </c>
      <c r="E213" s="27" t="s">
        <v>17</v>
      </c>
      <c r="F213" s="26" t="s">
        <v>18</v>
      </c>
      <c r="G213" s="26" t="s">
        <v>19</v>
      </c>
      <c r="H213" s="28">
        <v>45352</v>
      </c>
      <c r="I213" s="19">
        <f>IF(F213="是",VLOOKUP(G213,[32]Sheet2!A:C,3,FALSE),VLOOKUP(G213,[32]Sheet2!A:B,2,FALSE))</f>
        <v>600</v>
      </c>
      <c r="J213" s="24" t="s">
        <v>20</v>
      </c>
      <c r="K213" s="25"/>
    </row>
    <row r="214" s="6" customFormat="1" ht="31" customHeight="1" spans="1:11">
      <c r="A214" s="19">
        <v>210</v>
      </c>
      <c r="B214" s="26" t="s">
        <v>184</v>
      </c>
      <c r="C214" s="26" t="s">
        <v>254</v>
      </c>
      <c r="D214" s="26" t="s">
        <v>258</v>
      </c>
      <c r="E214" s="27" t="s">
        <v>17</v>
      </c>
      <c r="F214" s="26" t="s">
        <v>18</v>
      </c>
      <c r="G214" s="26" t="s">
        <v>19</v>
      </c>
      <c r="H214" s="28">
        <v>45292</v>
      </c>
      <c r="I214" s="19">
        <f>IF(F214="是",VLOOKUP(G214,[32]Sheet2!A:C,3,FALSE),VLOOKUP(G214,[32]Sheet2!A:B,2,FALSE))</f>
        <v>600</v>
      </c>
      <c r="J214" s="24" t="s">
        <v>20</v>
      </c>
      <c r="K214" s="25"/>
    </row>
    <row r="215" s="6" customFormat="1" ht="31" customHeight="1" spans="1:11">
      <c r="A215" s="19">
        <v>211</v>
      </c>
      <c r="B215" s="26" t="s">
        <v>184</v>
      </c>
      <c r="C215" s="26" t="s">
        <v>254</v>
      </c>
      <c r="D215" s="26" t="s">
        <v>259</v>
      </c>
      <c r="E215" s="27" t="s">
        <v>17</v>
      </c>
      <c r="F215" s="26" t="s">
        <v>18</v>
      </c>
      <c r="G215" s="26" t="s">
        <v>19</v>
      </c>
      <c r="H215" s="28">
        <v>45383</v>
      </c>
      <c r="I215" s="19">
        <f>IF(F215="是",VLOOKUP(G215,[32]Sheet2!A:C,3,FALSE),VLOOKUP(G215,[32]Sheet2!A:B,2,FALSE))</f>
        <v>600</v>
      </c>
      <c r="J215" s="24" t="s">
        <v>20</v>
      </c>
      <c r="K215" s="25"/>
    </row>
    <row r="216" s="6" customFormat="1" ht="31" customHeight="1" spans="1:11">
      <c r="A216" s="19">
        <v>212</v>
      </c>
      <c r="B216" s="26" t="s">
        <v>184</v>
      </c>
      <c r="C216" s="26" t="s">
        <v>254</v>
      </c>
      <c r="D216" s="26" t="s">
        <v>260</v>
      </c>
      <c r="E216" s="27" t="s">
        <v>17</v>
      </c>
      <c r="F216" s="26" t="s">
        <v>18</v>
      </c>
      <c r="G216" s="26" t="s">
        <v>19</v>
      </c>
      <c r="H216" s="28">
        <v>45323</v>
      </c>
      <c r="I216" s="19">
        <f>IF(F216="是",VLOOKUP(G216,[32]Sheet2!A:C,3,FALSE),VLOOKUP(G216,[32]Sheet2!A:B,2,FALSE))</f>
        <v>600</v>
      </c>
      <c r="J216" s="24" t="s">
        <v>20</v>
      </c>
      <c r="K216" s="25"/>
    </row>
    <row r="217" s="6" customFormat="1" ht="31" customHeight="1" spans="1:11">
      <c r="A217" s="19">
        <v>213</v>
      </c>
      <c r="B217" s="26" t="s">
        <v>184</v>
      </c>
      <c r="C217" s="26" t="s">
        <v>254</v>
      </c>
      <c r="D217" s="26" t="s">
        <v>261</v>
      </c>
      <c r="E217" s="27" t="s">
        <v>17</v>
      </c>
      <c r="F217" s="26" t="s">
        <v>18</v>
      </c>
      <c r="G217" s="26" t="s">
        <v>19</v>
      </c>
      <c r="H217" s="28">
        <v>45385</v>
      </c>
      <c r="I217" s="19">
        <f>IF(F217="是",VLOOKUP(G217,[32]Sheet2!A:C,3,FALSE),VLOOKUP(G217,[32]Sheet2!A:B,2,FALSE))</f>
        <v>600</v>
      </c>
      <c r="J217" s="24" t="s">
        <v>20</v>
      </c>
      <c r="K217" s="25"/>
    </row>
    <row r="218" s="6" customFormat="1" ht="31" customHeight="1" spans="1:11">
      <c r="A218" s="19">
        <v>214</v>
      </c>
      <c r="B218" s="26" t="s">
        <v>184</v>
      </c>
      <c r="C218" s="26" t="s">
        <v>254</v>
      </c>
      <c r="D218" s="26" t="s">
        <v>262</v>
      </c>
      <c r="E218" s="27" t="s">
        <v>17</v>
      </c>
      <c r="F218" s="26" t="s">
        <v>18</v>
      </c>
      <c r="G218" s="26" t="s">
        <v>19</v>
      </c>
      <c r="H218" s="28">
        <v>45340</v>
      </c>
      <c r="I218" s="19">
        <f>IF(F218="是",VLOOKUP(G218,[32]Sheet2!A:C,3,FALSE),VLOOKUP(G218,[32]Sheet2!A:B,2,FALSE))</f>
        <v>600</v>
      </c>
      <c r="J218" s="24" t="s">
        <v>20</v>
      </c>
      <c r="K218" s="25"/>
    </row>
    <row r="219" s="6" customFormat="1" ht="31" customHeight="1" spans="1:11">
      <c r="A219" s="19">
        <v>215</v>
      </c>
      <c r="B219" s="26" t="s">
        <v>184</v>
      </c>
      <c r="C219" s="26" t="s">
        <v>254</v>
      </c>
      <c r="D219" s="26" t="s">
        <v>263</v>
      </c>
      <c r="E219" s="27" t="s">
        <v>17</v>
      </c>
      <c r="F219" s="26" t="s">
        <v>18</v>
      </c>
      <c r="G219" s="26" t="s">
        <v>19</v>
      </c>
      <c r="H219" s="28">
        <v>45352</v>
      </c>
      <c r="I219" s="19">
        <f>IF(F219="是",VLOOKUP(G219,[32]Sheet2!A:C,3,FALSE),VLOOKUP(G219,[32]Sheet2!A:B,2,FALSE))</f>
        <v>600</v>
      </c>
      <c r="J219" s="24" t="s">
        <v>20</v>
      </c>
      <c r="K219" s="25"/>
    </row>
    <row r="220" s="6" customFormat="1" ht="31" customHeight="1" spans="1:11">
      <c r="A220" s="19">
        <v>216</v>
      </c>
      <c r="B220" s="26" t="s">
        <v>184</v>
      </c>
      <c r="C220" s="26" t="s">
        <v>254</v>
      </c>
      <c r="D220" s="26" t="s">
        <v>264</v>
      </c>
      <c r="E220" s="27" t="s">
        <v>17</v>
      </c>
      <c r="F220" s="26" t="s">
        <v>18</v>
      </c>
      <c r="G220" s="26" t="s">
        <v>19</v>
      </c>
      <c r="H220" s="28">
        <v>45323</v>
      </c>
      <c r="I220" s="19">
        <f>IF(F220="是",VLOOKUP(G220,[32]Sheet2!A:C,3,FALSE),VLOOKUP(G220,[32]Sheet2!A:B,2,FALSE))</f>
        <v>600</v>
      </c>
      <c r="J220" s="24" t="s">
        <v>20</v>
      </c>
      <c r="K220" s="25"/>
    </row>
    <row r="221" s="6" customFormat="1" ht="31" customHeight="1" spans="1:11">
      <c r="A221" s="19">
        <v>217</v>
      </c>
      <c r="B221" s="26" t="s">
        <v>184</v>
      </c>
      <c r="C221" s="26" t="s">
        <v>254</v>
      </c>
      <c r="D221" s="26" t="s">
        <v>265</v>
      </c>
      <c r="E221" s="27" t="s">
        <v>17</v>
      </c>
      <c r="F221" s="26" t="s">
        <v>18</v>
      </c>
      <c r="G221" s="26" t="s">
        <v>38</v>
      </c>
      <c r="H221" s="28">
        <v>45444</v>
      </c>
      <c r="I221" s="19">
        <f>IF(F221="是",VLOOKUP(G221,[32]Sheet2!A:C,3,FALSE),VLOOKUP(G221,[32]Sheet2!A:B,2,FALSE))</f>
        <v>600</v>
      </c>
      <c r="J221" s="24" t="s">
        <v>20</v>
      </c>
      <c r="K221" s="25"/>
    </row>
    <row r="222" s="6" customFormat="1" ht="31" customHeight="1" spans="1:11">
      <c r="A222" s="19">
        <v>218</v>
      </c>
      <c r="B222" s="26" t="s">
        <v>184</v>
      </c>
      <c r="C222" s="26" t="s">
        <v>254</v>
      </c>
      <c r="D222" s="26" t="s">
        <v>266</v>
      </c>
      <c r="E222" s="27" t="s">
        <v>17</v>
      </c>
      <c r="F222" s="26" t="s">
        <v>18</v>
      </c>
      <c r="G222" s="26" t="s">
        <v>19</v>
      </c>
      <c r="H222" s="28">
        <v>45323</v>
      </c>
      <c r="I222" s="19">
        <f>IF(F222="是",VLOOKUP(G222,[32]Sheet2!A:C,3,FALSE),VLOOKUP(G222,[32]Sheet2!A:B,2,FALSE))</f>
        <v>600</v>
      </c>
      <c r="J222" s="24" t="s">
        <v>20</v>
      </c>
      <c r="K222" s="25"/>
    </row>
    <row r="223" s="6" customFormat="1" ht="31" customHeight="1" spans="1:11">
      <c r="A223" s="19">
        <v>219</v>
      </c>
      <c r="B223" s="26" t="s">
        <v>184</v>
      </c>
      <c r="C223" s="26" t="s">
        <v>254</v>
      </c>
      <c r="D223" s="26" t="s">
        <v>267</v>
      </c>
      <c r="E223" s="27" t="s">
        <v>17</v>
      </c>
      <c r="F223" s="26" t="s">
        <v>18</v>
      </c>
      <c r="G223" s="26" t="s">
        <v>19</v>
      </c>
      <c r="H223" s="30">
        <v>45323</v>
      </c>
      <c r="I223" s="19">
        <f>IF(F223="是",VLOOKUP(G223,[32]Sheet2!A:C,3,FALSE),VLOOKUP(G223,[32]Sheet2!A:B,2,FALSE))</f>
        <v>600</v>
      </c>
      <c r="J223" s="24" t="s">
        <v>20</v>
      </c>
      <c r="K223" s="25"/>
    </row>
    <row r="224" s="6" customFormat="1" ht="31" customHeight="1" spans="1:11">
      <c r="A224" s="19">
        <v>220</v>
      </c>
      <c r="B224" s="26" t="s">
        <v>184</v>
      </c>
      <c r="C224" s="26" t="s">
        <v>254</v>
      </c>
      <c r="D224" s="26" t="s">
        <v>268</v>
      </c>
      <c r="E224" s="27" t="s">
        <v>17</v>
      </c>
      <c r="F224" s="26" t="s">
        <v>18</v>
      </c>
      <c r="G224" s="26" t="s">
        <v>19</v>
      </c>
      <c r="H224" s="30">
        <v>45323</v>
      </c>
      <c r="I224" s="19">
        <f>IF(F224="是",VLOOKUP(G224,[32]Sheet2!A:C,3,FALSE),VLOOKUP(G224,[32]Sheet2!A:B,2,FALSE))</f>
        <v>600</v>
      </c>
      <c r="J224" s="24" t="s">
        <v>20</v>
      </c>
      <c r="K224" s="25"/>
    </row>
    <row r="225" s="6" customFormat="1" ht="31" customHeight="1" spans="1:11">
      <c r="A225" s="19">
        <v>221</v>
      </c>
      <c r="B225" s="26" t="s">
        <v>184</v>
      </c>
      <c r="C225" s="26" t="s">
        <v>254</v>
      </c>
      <c r="D225" s="26" t="s">
        <v>269</v>
      </c>
      <c r="E225" s="27" t="s">
        <v>17</v>
      </c>
      <c r="F225" s="26" t="s">
        <v>18</v>
      </c>
      <c r="G225" s="26" t="s">
        <v>19</v>
      </c>
      <c r="H225" s="28">
        <v>45352</v>
      </c>
      <c r="I225" s="19">
        <f>IF(F225="是",VLOOKUP(G225,[32]Sheet2!A:C,3,FALSE),VLOOKUP(G225,[32]Sheet2!A:B,2,FALSE))</f>
        <v>600</v>
      </c>
      <c r="J225" s="24" t="s">
        <v>20</v>
      </c>
      <c r="K225" s="25"/>
    </row>
    <row r="226" s="6" customFormat="1" ht="31" customHeight="1" spans="1:11">
      <c r="A226" s="19">
        <v>222</v>
      </c>
      <c r="B226" s="26" t="s">
        <v>184</v>
      </c>
      <c r="C226" s="26" t="s">
        <v>270</v>
      </c>
      <c r="D226" s="26" t="s">
        <v>271</v>
      </c>
      <c r="E226" s="27" t="s">
        <v>17</v>
      </c>
      <c r="F226" s="26" t="s">
        <v>18</v>
      </c>
      <c r="G226" s="26" t="s">
        <v>19</v>
      </c>
      <c r="H226" s="30">
        <v>45347</v>
      </c>
      <c r="I226" s="19">
        <f>IF(F226="是",VLOOKUP(G226,[32]Sheet2!A:C,3,FALSE),VLOOKUP(G226,[32]Sheet2!A:B,2,FALSE))</f>
        <v>600</v>
      </c>
      <c r="J226" s="24" t="s">
        <v>20</v>
      </c>
      <c r="K226" s="25"/>
    </row>
    <row r="227" s="6" customFormat="1" ht="31" customHeight="1" spans="1:11">
      <c r="A227" s="19">
        <v>223</v>
      </c>
      <c r="B227" s="26" t="s">
        <v>184</v>
      </c>
      <c r="C227" s="26" t="s">
        <v>270</v>
      </c>
      <c r="D227" s="26" t="s">
        <v>272</v>
      </c>
      <c r="E227" s="27" t="s">
        <v>17</v>
      </c>
      <c r="F227" s="26" t="s">
        <v>18</v>
      </c>
      <c r="G227" s="26" t="s">
        <v>19</v>
      </c>
      <c r="H227" s="30">
        <v>45383</v>
      </c>
      <c r="I227" s="19">
        <f>IF(F227="是",VLOOKUP(G227,[32]Sheet2!A:C,3,FALSE),VLOOKUP(G227,[32]Sheet2!A:B,2,FALSE))</f>
        <v>600</v>
      </c>
      <c r="J227" s="24" t="s">
        <v>20</v>
      </c>
      <c r="K227" s="25"/>
    </row>
    <row r="228" s="6" customFormat="1" ht="31" customHeight="1" spans="1:11">
      <c r="A228" s="19">
        <v>224</v>
      </c>
      <c r="B228" s="26" t="s">
        <v>184</v>
      </c>
      <c r="C228" s="26" t="s">
        <v>270</v>
      </c>
      <c r="D228" s="26" t="s">
        <v>273</v>
      </c>
      <c r="E228" s="27" t="s">
        <v>17</v>
      </c>
      <c r="F228" s="26" t="s">
        <v>18</v>
      </c>
      <c r="G228" s="26" t="s">
        <v>19</v>
      </c>
      <c r="H228" s="30">
        <v>45363</v>
      </c>
      <c r="I228" s="19">
        <f>IF(F228="是",VLOOKUP(G228,[32]Sheet2!A:C,3,FALSE),VLOOKUP(G228,[32]Sheet2!A:B,2,FALSE))</f>
        <v>600</v>
      </c>
      <c r="J228" s="24" t="s">
        <v>20</v>
      </c>
      <c r="K228" s="25"/>
    </row>
    <row r="229" s="6" customFormat="1" ht="31" customHeight="1" spans="1:11">
      <c r="A229" s="19">
        <v>225</v>
      </c>
      <c r="B229" s="26" t="s">
        <v>184</v>
      </c>
      <c r="C229" s="26" t="s">
        <v>270</v>
      </c>
      <c r="D229" s="26" t="s">
        <v>274</v>
      </c>
      <c r="E229" s="27" t="s">
        <v>17</v>
      </c>
      <c r="F229" s="26" t="s">
        <v>18</v>
      </c>
      <c r="G229" s="26" t="s">
        <v>19</v>
      </c>
      <c r="H229" s="30">
        <v>45348</v>
      </c>
      <c r="I229" s="19">
        <f>IF(F229="是",VLOOKUP(G229,[32]Sheet2!A:C,3,FALSE),VLOOKUP(G229,[32]Sheet2!A:B,2,FALSE))</f>
        <v>600</v>
      </c>
      <c r="J229" s="24" t="s">
        <v>20</v>
      </c>
      <c r="K229" s="25"/>
    </row>
    <row r="230" s="6" customFormat="1" ht="31" customHeight="1" spans="1:11">
      <c r="A230" s="19">
        <v>226</v>
      </c>
      <c r="B230" s="26" t="s">
        <v>184</v>
      </c>
      <c r="C230" s="26" t="s">
        <v>270</v>
      </c>
      <c r="D230" s="26" t="s">
        <v>275</v>
      </c>
      <c r="E230" s="27" t="s">
        <v>17</v>
      </c>
      <c r="F230" s="26" t="s">
        <v>18</v>
      </c>
      <c r="G230" s="26" t="s">
        <v>19</v>
      </c>
      <c r="H230" s="30">
        <v>45350</v>
      </c>
      <c r="I230" s="19">
        <f>IF(F230="是",VLOOKUP(G230,[32]Sheet2!A:C,3,FALSE),VLOOKUP(G230,[32]Sheet2!A:B,2,FALSE))</f>
        <v>600</v>
      </c>
      <c r="J230" s="24" t="s">
        <v>20</v>
      </c>
      <c r="K230" s="25"/>
    </row>
    <row r="231" s="6" customFormat="1" ht="31" customHeight="1" spans="1:11">
      <c r="A231" s="19">
        <v>227</v>
      </c>
      <c r="B231" s="26" t="s">
        <v>184</v>
      </c>
      <c r="C231" s="26" t="s">
        <v>270</v>
      </c>
      <c r="D231" s="26" t="s">
        <v>276</v>
      </c>
      <c r="E231" s="27" t="s">
        <v>17</v>
      </c>
      <c r="F231" s="26" t="s">
        <v>18</v>
      </c>
      <c r="G231" s="26" t="s">
        <v>19</v>
      </c>
      <c r="H231" s="30">
        <v>45373</v>
      </c>
      <c r="I231" s="19">
        <f>IF(F231="是",VLOOKUP(G231,[32]Sheet2!A:C,3,FALSE),VLOOKUP(G231,[32]Sheet2!A:B,2,FALSE))</f>
        <v>600</v>
      </c>
      <c r="J231" s="24" t="s">
        <v>20</v>
      </c>
      <c r="K231" s="25"/>
    </row>
    <row r="232" s="6" customFormat="1" ht="31" customHeight="1" spans="1:11">
      <c r="A232" s="19">
        <v>228</v>
      </c>
      <c r="B232" s="26" t="s">
        <v>184</v>
      </c>
      <c r="C232" s="26" t="s">
        <v>270</v>
      </c>
      <c r="D232" s="26" t="s">
        <v>277</v>
      </c>
      <c r="E232" s="27" t="s">
        <v>17</v>
      </c>
      <c r="F232" s="26" t="s">
        <v>18</v>
      </c>
      <c r="G232" s="26" t="s">
        <v>29</v>
      </c>
      <c r="H232" s="30">
        <v>45313</v>
      </c>
      <c r="I232" s="19">
        <f>IF(F232="是",VLOOKUP(G232,[32]Sheet2!A:C,3,FALSE),VLOOKUP(G232,[32]Sheet2!A:B,2,FALSE))</f>
        <v>800</v>
      </c>
      <c r="J232" s="24" t="s">
        <v>20</v>
      </c>
      <c r="K232" s="25"/>
    </row>
    <row r="233" s="6" customFormat="1" ht="31" customHeight="1" spans="1:11">
      <c r="A233" s="19">
        <v>229</v>
      </c>
      <c r="B233" s="26" t="s">
        <v>184</v>
      </c>
      <c r="C233" s="26" t="s">
        <v>278</v>
      </c>
      <c r="D233" s="26" t="s">
        <v>279</v>
      </c>
      <c r="E233" s="27" t="s">
        <v>17</v>
      </c>
      <c r="F233" s="26" t="s">
        <v>18</v>
      </c>
      <c r="G233" s="26" t="s">
        <v>19</v>
      </c>
      <c r="H233" s="30">
        <v>45323</v>
      </c>
      <c r="I233" s="19">
        <f>IF(F233="是",VLOOKUP(G233,[32]Sheet2!A:C,3,FALSE),VLOOKUP(G233,[32]Sheet2!A:B,2,FALSE))</f>
        <v>600</v>
      </c>
      <c r="J233" s="24" t="s">
        <v>20</v>
      </c>
      <c r="K233" s="25"/>
    </row>
    <row r="234" s="6" customFormat="1" ht="31" customHeight="1" spans="1:11">
      <c r="A234" s="19">
        <v>230</v>
      </c>
      <c r="B234" s="26" t="s">
        <v>184</v>
      </c>
      <c r="C234" s="26" t="s">
        <v>278</v>
      </c>
      <c r="D234" s="26" t="s">
        <v>280</v>
      </c>
      <c r="E234" s="27" t="s">
        <v>17</v>
      </c>
      <c r="F234" s="26" t="s">
        <v>18</v>
      </c>
      <c r="G234" s="26" t="s">
        <v>19</v>
      </c>
      <c r="H234" s="30">
        <v>45474</v>
      </c>
      <c r="I234" s="19">
        <f>IF(F234="是",VLOOKUP(G234,[32]Sheet2!A:C,3,FALSE),VLOOKUP(G234,[32]Sheet2!A:B,2,FALSE))</f>
        <v>600</v>
      </c>
      <c r="J234" s="24" t="s">
        <v>20</v>
      </c>
      <c r="K234" s="25"/>
    </row>
    <row r="235" s="6" customFormat="1" ht="31" customHeight="1" spans="1:11">
      <c r="A235" s="19">
        <v>231</v>
      </c>
      <c r="B235" s="26" t="s">
        <v>184</v>
      </c>
      <c r="C235" s="26" t="s">
        <v>278</v>
      </c>
      <c r="D235" s="26" t="s">
        <v>281</v>
      </c>
      <c r="E235" s="27" t="s">
        <v>17</v>
      </c>
      <c r="F235" s="26" t="s">
        <v>18</v>
      </c>
      <c r="G235" s="26" t="s">
        <v>32</v>
      </c>
      <c r="H235" s="30">
        <v>45323</v>
      </c>
      <c r="I235" s="19">
        <f>IF(F235="是",VLOOKUP(G235,[32]Sheet2!A:C,3,FALSE),VLOOKUP(G235,[32]Sheet2!A:B,2,FALSE))</f>
        <v>800</v>
      </c>
      <c r="J235" s="24" t="s">
        <v>20</v>
      </c>
      <c r="K235" s="25"/>
    </row>
    <row r="236" s="6" customFormat="1" ht="31" customHeight="1" spans="1:11">
      <c r="A236" s="19">
        <v>232</v>
      </c>
      <c r="B236" s="26" t="s">
        <v>184</v>
      </c>
      <c r="C236" s="26" t="s">
        <v>278</v>
      </c>
      <c r="D236" s="26" t="s">
        <v>282</v>
      </c>
      <c r="E236" s="27" t="s">
        <v>17</v>
      </c>
      <c r="F236" s="26" t="s">
        <v>18</v>
      </c>
      <c r="G236" s="26" t="s">
        <v>19</v>
      </c>
      <c r="H236" s="30">
        <v>45292</v>
      </c>
      <c r="I236" s="19">
        <f>IF(F236="是",VLOOKUP(G236,[32]Sheet2!A:C,3,FALSE),VLOOKUP(G236,[32]Sheet2!A:B,2,FALSE))</f>
        <v>600</v>
      </c>
      <c r="J236" s="24" t="s">
        <v>20</v>
      </c>
      <c r="K236" s="25"/>
    </row>
    <row r="237" s="6" customFormat="1" ht="31" customHeight="1" spans="1:11">
      <c r="A237" s="19">
        <v>233</v>
      </c>
      <c r="B237" s="26" t="s">
        <v>184</v>
      </c>
      <c r="C237" s="26" t="s">
        <v>278</v>
      </c>
      <c r="D237" s="26" t="s">
        <v>283</v>
      </c>
      <c r="E237" s="27" t="s">
        <v>17</v>
      </c>
      <c r="F237" s="26" t="s">
        <v>18</v>
      </c>
      <c r="G237" s="26" t="s">
        <v>19</v>
      </c>
      <c r="H237" s="30">
        <v>45323</v>
      </c>
      <c r="I237" s="19">
        <f>IF(F237="是",VLOOKUP(G237,[32]Sheet2!A:C,3,FALSE),VLOOKUP(G237,[32]Sheet2!A:B,2,FALSE))</f>
        <v>600</v>
      </c>
      <c r="J237" s="24" t="s">
        <v>20</v>
      </c>
      <c r="K237" s="25"/>
    </row>
    <row r="238" s="6" customFormat="1" ht="31" customHeight="1" spans="1:11">
      <c r="A238" s="19">
        <v>234</v>
      </c>
      <c r="B238" s="26" t="s">
        <v>184</v>
      </c>
      <c r="C238" s="26" t="s">
        <v>278</v>
      </c>
      <c r="D238" s="26" t="s">
        <v>284</v>
      </c>
      <c r="E238" s="27" t="s">
        <v>17</v>
      </c>
      <c r="F238" s="26" t="s">
        <v>18</v>
      </c>
      <c r="G238" s="26" t="s">
        <v>19</v>
      </c>
      <c r="H238" s="30">
        <v>45474</v>
      </c>
      <c r="I238" s="19">
        <f>IF(F238="是",VLOOKUP(G238,[32]Sheet2!A:C,3,FALSE),VLOOKUP(G238,[32]Sheet2!A:B,2,FALSE))</f>
        <v>600</v>
      </c>
      <c r="J238" s="24" t="s">
        <v>20</v>
      </c>
      <c r="K238" s="25"/>
    </row>
    <row r="239" s="6" customFormat="1" ht="31" customHeight="1" spans="1:11">
      <c r="A239" s="19">
        <v>235</v>
      </c>
      <c r="B239" s="26" t="s">
        <v>184</v>
      </c>
      <c r="C239" s="26" t="s">
        <v>278</v>
      </c>
      <c r="D239" s="26" t="s">
        <v>285</v>
      </c>
      <c r="E239" s="27" t="s">
        <v>17</v>
      </c>
      <c r="F239" s="26" t="s">
        <v>18</v>
      </c>
      <c r="G239" s="26" t="s">
        <v>19</v>
      </c>
      <c r="H239" s="30">
        <v>45363</v>
      </c>
      <c r="I239" s="19">
        <f>IF(F239="是",VLOOKUP(G239,[32]Sheet2!A:C,3,FALSE),VLOOKUP(G239,[32]Sheet2!A:B,2,FALSE))</f>
        <v>600</v>
      </c>
      <c r="J239" s="24" t="s">
        <v>20</v>
      </c>
      <c r="K239" s="25"/>
    </row>
    <row r="240" s="6" customFormat="1" ht="31" customHeight="1" spans="1:11">
      <c r="A240" s="19">
        <v>236</v>
      </c>
      <c r="B240" s="26" t="s">
        <v>184</v>
      </c>
      <c r="C240" s="26" t="s">
        <v>278</v>
      </c>
      <c r="D240" s="26" t="s">
        <v>286</v>
      </c>
      <c r="E240" s="27" t="s">
        <v>17</v>
      </c>
      <c r="F240" s="26" t="s">
        <v>18</v>
      </c>
      <c r="G240" s="26" t="s">
        <v>19</v>
      </c>
      <c r="H240" s="30">
        <v>45363</v>
      </c>
      <c r="I240" s="19">
        <f>IF(F240="是",VLOOKUP(G240,[32]Sheet2!A:C,3,FALSE),VLOOKUP(G240,[32]Sheet2!A:B,2,FALSE))</f>
        <v>600</v>
      </c>
      <c r="J240" s="24" t="s">
        <v>20</v>
      </c>
      <c r="K240" s="25"/>
    </row>
    <row r="241" s="6" customFormat="1" ht="31" customHeight="1" spans="1:11">
      <c r="A241" s="19">
        <v>237</v>
      </c>
      <c r="B241" s="26" t="s">
        <v>184</v>
      </c>
      <c r="C241" s="26" t="s">
        <v>278</v>
      </c>
      <c r="D241" s="26" t="s">
        <v>287</v>
      </c>
      <c r="E241" s="27" t="s">
        <v>17</v>
      </c>
      <c r="F241" s="26" t="s">
        <v>18</v>
      </c>
      <c r="G241" s="26" t="s">
        <v>19</v>
      </c>
      <c r="H241" s="30">
        <v>45323</v>
      </c>
      <c r="I241" s="19">
        <f>IF(F241="是",VLOOKUP(G241,[32]Sheet2!A:C,3,FALSE),VLOOKUP(G241,[32]Sheet2!A:B,2,FALSE))</f>
        <v>600</v>
      </c>
      <c r="J241" s="24" t="s">
        <v>20</v>
      </c>
      <c r="K241" s="25"/>
    </row>
    <row r="242" s="6" customFormat="1" ht="31" customHeight="1" spans="1:11">
      <c r="A242" s="19">
        <v>238</v>
      </c>
      <c r="B242" s="26" t="s">
        <v>184</v>
      </c>
      <c r="C242" s="26" t="s">
        <v>278</v>
      </c>
      <c r="D242" s="26" t="s">
        <v>288</v>
      </c>
      <c r="E242" s="27" t="s">
        <v>17</v>
      </c>
      <c r="F242" s="26" t="s">
        <v>18</v>
      </c>
      <c r="G242" s="26" t="s">
        <v>19</v>
      </c>
      <c r="H242" s="30">
        <v>45323</v>
      </c>
      <c r="I242" s="19">
        <f>IF(F242="是",VLOOKUP(G242,[32]Sheet2!A:C,3,FALSE),VLOOKUP(G242,[32]Sheet2!A:B,2,FALSE))</f>
        <v>600</v>
      </c>
      <c r="J242" s="24" t="s">
        <v>20</v>
      </c>
      <c r="K242" s="25"/>
    </row>
    <row r="243" s="6" customFormat="1" ht="31" customHeight="1" spans="1:11">
      <c r="A243" s="19">
        <v>239</v>
      </c>
      <c r="B243" s="26" t="s">
        <v>184</v>
      </c>
      <c r="C243" s="26" t="s">
        <v>278</v>
      </c>
      <c r="D243" s="26" t="s">
        <v>289</v>
      </c>
      <c r="E243" s="27" t="s">
        <v>17</v>
      </c>
      <c r="F243" s="26" t="s">
        <v>18</v>
      </c>
      <c r="G243" s="26" t="s">
        <v>19</v>
      </c>
      <c r="H243" s="30">
        <v>45363</v>
      </c>
      <c r="I243" s="19">
        <f>IF(F243="是",VLOOKUP(G243,[32]Sheet2!A:C,3,FALSE),VLOOKUP(G243,[32]Sheet2!A:B,2,FALSE))</f>
        <v>600</v>
      </c>
      <c r="J243" s="24" t="s">
        <v>20</v>
      </c>
      <c r="K243" s="25"/>
    </row>
    <row r="244" s="6" customFormat="1" ht="31" customHeight="1" spans="1:11">
      <c r="A244" s="19">
        <v>240</v>
      </c>
      <c r="B244" s="26" t="s">
        <v>184</v>
      </c>
      <c r="C244" s="26" t="s">
        <v>278</v>
      </c>
      <c r="D244" s="26" t="s">
        <v>290</v>
      </c>
      <c r="E244" s="27" t="s">
        <v>17</v>
      </c>
      <c r="F244" s="26" t="s">
        <v>18</v>
      </c>
      <c r="G244" s="26" t="s">
        <v>19</v>
      </c>
      <c r="H244" s="30">
        <v>45292</v>
      </c>
      <c r="I244" s="19">
        <f>IF(F244="是",VLOOKUP(G244,[32]Sheet2!A:C,3,FALSE),VLOOKUP(G244,[32]Sheet2!A:B,2,FALSE))</f>
        <v>600</v>
      </c>
      <c r="J244" s="24" t="s">
        <v>20</v>
      </c>
      <c r="K244" s="25"/>
    </row>
    <row r="245" s="6" customFormat="1" ht="31" customHeight="1" spans="1:11">
      <c r="A245" s="19">
        <v>241</v>
      </c>
      <c r="B245" s="26" t="s">
        <v>184</v>
      </c>
      <c r="C245" s="26" t="s">
        <v>278</v>
      </c>
      <c r="D245" s="26" t="s">
        <v>291</v>
      </c>
      <c r="E245" s="27" t="s">
        <v>17</v>
      </c>
      <c r="F245" s="26" t="s">
        <v>18</v>
      </c>
      <c r="G245" s="26" t="s">
        <v>19</v>
      </c>
      <c r="H245" s="30">
        <v>45292</v>
      </c>
      <c r="I245" s="19">
        <f>IF(F245="是",VLOOKUP(G245,[32]Sheet2!A:C,3,FALSE),VLOOKUP(G245,[32]Sheet2!A:B,2,FALSE))</f>
        <v>600</v>
      </c>
      <c r="J245" s="24" t="s">
        <v>20</v>
      </c>
      <c r="K245" s="25"/>
    </row>
    <row r="246" s="6" customFormat="1" ht="31" customHeight="1" spans="1:11">
      <c r="A246" s="19">
        <v>242</v>
      </c>
      <c r="B246" s="26" t="s">
        <v>184</v>
      </c>
      <c r="C246" s="26" t="s">
        <v>278</v>
      </c>
      <c r="D246" s="26" t="s">
        <v>292</v>
      </c>
      <c r="E246" s="27" t="s">
        <v>17</v>
      </c>
      <c r="F246" s="26" t="s">
        <v>18</v>
      </c>
      <c r="G246" s="26" t="s">
        <v>19</v>
      </c>
      <c r="H246" s="30">
        <v>45444</v>
      </c>
      <c r="I246" s="19">
        <f>IF(F246="是",VLOOKUP(G246,[32]Sheet2!A:C,3,FALSE),VLOOKUP(G246,[32]Sheet2!A:B,2,FALSE))</f>
        <v>600</v>
      </c>
      <c r="J246" s="24" t="s">
        <v>20</v>
      </c>
      <c r="K246" s="25"/>
    </row>
    <row r="247" s="6" customFormat="1" ht="31" customHeight="1" spans="1:11">
      <c r="A247" s="19">
        <v>243</v>
      </c>
      <c r="B247" s="26" t="s">
        <v>184</v>
      </c>
      <c r="C247" s="26" t="s">
        <v>293</v>
      </c>
      <c r="D247" s="26" t="s">
        <v>294</v>
      </c>
      <c r="E247" s="27" t="s">
        <v>17</v>
      </c>
      <c r="F247" s="26" t="s">
        <v>18</v>
      </c>
      <c r="G247" s="26" t="s">
        <v>295</v>
      </c>
      <c r="H247" s="28">
        <v>45323</v>
      </c>
      <c r="I247" s="19">
        <f>IF(F247="是",VLOOKUP(G247,[32]Sheet2!A:C,3,FALSE),VLOOKUP(G247,[32]Sheet2!A:B,2,FALSE))</f>
        <v>600</v>
      </c>
      <c r="J247" s="24" t="s">
        <v>20</v>
      </c>
      <c r="K247" s="25"/>
    </row>
    <row r="248" s="6" customFormat="1" ht="31" customHeight="1" spans="1:11">
      <c r="A248" s="19">
        <v>244</v>
      </c>
      <c r="B248" s="26" t="s">
        <v>184</v>
      </c>
      <c r="C248" s="26" t="s">
        <v>293</v>
      </c>
      <c r="D248" s="26" t="s">
        <v>296</v>
      </c>
      <c r="E248" s="27" t="s">
        <v>17</v>
      </c>
      <c r="F248" s="26" t="s">
        <v>18</v>
      </c>
      <c r="G248" s="26" t="s">
        <v>19</v>
      </c>
      <c r="H248" s="28">
        <v>45339</v>
      </c>
      <c r="I248" s="19">
        <f>IF(F248="是",VLOOKUP(G248,[32]Sheet2!A:C,3,FALSE),VLOOKUP(G248,[32]Sheet2!A:B,2,FALSE))</f>
        <v>600</v>
      </c>
      <c r="J248" s="24" t="s">
        <v>20</v>
      </c>
      <c r="K248" s="25"/>
    </row>
    <row r="249" s="6" customFormat="1" ht="31" customHeight="1" spans="1:11">
      <c r="A249" s="19">
        <v>245</v>
      </c>
      <c r="B249" s="26" t="s">
        <v>184</v>
      </c>
      <c r="C249" s="26" t="s">
        <v>293</v>
      </c>
      <c r="D249" s="26" t="s">
        <v>297</v>
      </c>
      <c r="E249" s="27" t="s">
        <v>17</v>
      </c>
      <c r="F249" s="26" t="s">
        <v>18</v>
      </c>
      <c r="G249" s="26" t="s">
        <v>19</v>
      </c>
      <c r="H249" s="28">
        <v>45341</v>
      </c>
      <c r="I249" s="19">
        <f>IF(F249="是",VLOOKUP(G249,[32]Sheet2!A:C,3,FALSE),VLOOKUP(G249,[32]Sheet2!A:B,2,FALSE))</f>
        <v>600</v>
      </c>
      <c r="J249" s="24" t="s">
        <v>20</v>
      </c>
      <c r="K249" s="25"/>
    </row>
    <row r="250" s="6" customFormat="1" ht="31" customHeight="1" spans="1:11">
      <c r="A250" s="19">
        <v>246</v>
      </c>
      <c r="B250" s="26" t="s">
        <v>184</v>
      </c>
      <c r="C250" s="26" t="s">
        <v>293</v>
      </c>
      <c r="D250" s="26" t="s">
        <v>298</v>
      </c>
      <c r="E250" s="27" t="s">
        <v>17</v>
      </c>
      <c r="F250" s="26" t="s">
        <v>18</v>
      </c>
      <c r="G250" s="26" t="s">
        <v>19</v>
      </c>
      <c r="H250" s="28">
        <v>45292</v>
      </c>
      <c r="I250" s="19">
        <f>IF(F250="是",VLOOKUP(G250,[32]Sheet2!A:C,3,FALSE),VLOOKUP(G250,[32]Sheet2!A:B,2,FALSE))</f>
        <v>600</v>
      </c>
      <c r="J250" s="24" t="s">
        <v>20</v>
      </c>
      <c r="K250" s="25"/>
    </row>
    <row r="251" s="6" customFormat="1" ht="31" customHeight="1" spans="1:11">
      <c r="A251" s="19">
        <v>247</v>
      </c>
      <c r="B251" s="26" t="s">
        <v>184</v>
      </c>
      <c r="C251" s="26" t="s">
        <v>293</v>
      </c>
      <c r="D251" s="26" t="s">
        <v>299</v>
      </c>
      <c r="E251" s="27" t="s">
        <v>17</v>
      </c>
      <c r="F251" s="26" t="s">
        <v>18</v>
      </c>
      <c r="G251" s="26" t="s">
        <v>19</v>
      </c>
      <c r="H251" s="28">
        <v>45337</v>
      </c>
      <c r="I251" s="19">
        <f>IF(F251="是",VLOOKUP(G251,[32]Sheet2!A:C,3,FALSE),VLOOKUP(G251,[32]Sheet2!A:B,2,FALSE))</f>
        <v>600</v>
      </c>
      <c r="J251" s="24" t="s">
        <v>20</v>
      </c>
      <c r="K251" s="25"/>
    </row>
    <row r="252" s="6" customFormat="1" ht="31" customHeight="1" spans="1:11">
      <c r="A252" s="19">
        <v>248</v>
      </c>
      <c r="B252" s="26" t="s">
        <v>184</v>
      </c>
      <c r="C252" s="26" t="s">
        <v>293</v>
      </c>
      <c r="D252" s="26" t="s">
        <v>300</v>
      </c>
      <c r="E252" s="27" t="s">
        <v>17</v>
      </c>
      <c r="F252" s="26" t="s">
        <v>18</v>
      </c>
      <c r="G252" s="26" t="s">
        <v>301</v>
      </c>
      <c r="H252" s="28">
        <v>45334</v>
      </c>
      <c r="I252" s="19">
        <f>IF(F252="是",VLOOKUP(G252,[32]Sheet2!A:C,3,FALSE),VLOOKUP(G252,[32]Sheet2!A:B,2,FALSE))</f>
        <v>800</v>
      </c>
      <c r="J252" s="24" t="s">
        <v>20</v>
      </c>
      <c r="K252" s="25"/>
    </row>
    <row r="253" s="6" customFormat="1" ht="31" customHeight="1" spans="1:11">
      <c r="A253" s="19">
        <v>249</v>
      </c>
      <c r="B253" s="26" t="s">
        <v>184</v>
      </c>
      <c r="C253" s="26" t="s">
        <v>293</v>
      </c>
      <c r="D253" s="26" t="s">
        <v>302</v>
      </c>
      <c r="E253" s="27" t="s">
        <v>17</v>
      </c>
      <c r="F253" s="26" t="s">
        <v>18</v>
      </c>
      <c r="G253" s="26" t="s">
        <v>19</v>
      </c>
      <c r="H253" s="28">
        <v>45296</v>
      </c>
      <c r="I253" s="19">
        <f>IF(F253="是",VLOOKUP(G253,[32]Sheet2!A:C,3,FALSE),VLOOKUP(G253,[32]Sheet2!A:B,2,FALSE))</f>
        <v>600</v>
      </c>
      <c r="J253" s="24" t="s">
        <v>20</v>
      </c>
      <c r="K253" s="25"/>
    </row>
    <row r="254" s="6" customFormat="1" ht="31" customHeight="1" spans="1:11">
      <c r="A254" s="19">
        <v>250</v>
      </c>
      <c r="B254" s="26" t="s">
        <v>184</v>
      </c>
      <c r="C254" s="26" t="s">
        <v>293</v>
      </c>
      <c r="D254" s="26" t="s">
        <v>303</v>
      </c>
      <c r="E254" s="27" t="s">
        <v>17</v>
      </c>
      <c r="F254" s="26" t="s">
        <v>18</v>
      </c>
      <c r="G254" s="26" t="s">
        <v>19</v>
      </c>
      <c r="H254" s="28">
        <v>45397</v>
      </c>
      <c r="I254" s="19">
        <f>IF(F254="是",VLOOKUP(G254,[32]Sheet2!A:C,3,FALSE),VLOOKUP(G254,[32]Sheet2!A:B,2,FALSE))</f>
        <v>600</v>
      </c>
      <c r="J254" s="24" t="s">
        <v>20</v>
      </c>
      <c r="K254" s="25"/>
    </row>
    <row r="255" s="6" customFormat="1" ht="31" customHeight="1" spans="1:11">
      <c r="A255" s="19">
        <v>251</v>
      </c>
      <c r="B255" s="26" t="s">
        <v>184</v>
      </c>
      <c r="C255" s="26" t="s">
        <v>293</v>
      </c>
      <c r="D255" s="26" t="s">
        <v>304</v>
      </c>
      <c r="E255" s="27" t="s">
        <v>17</v>
      </c>
      <c r="F255" s="26" t="s">
        <v>18</v>
      </c>
      <c r="G255" s="26" t="s">
        <v>19</v>
      </c>
      <c r="H255" s="28">
        <v>45340</v>
      </c>
      <c r="I255" s="19">
        <f>IF(F255="是",VLOOKUP(G255,[32]Sheet2!A:C,3,FALSE),VLOOKUP(G255,[32]Sheet2!A:B,2,FALSE))</f>
        <v>600</v>
      </c>
      <c r="J255" s="24" t="s">
        <v>20</v>
      </c>
      <c r="K255" s="25"/>
    </row>
    <row r="256" s="6" customFormat="1" ht="31" customHeight="1" spans="1:11">
      <c r="A256" s="19">
        <v>252</v>
      </c>
      <c r="B256" s="26" t="s">
        <v>184</v>
      </c>
      <c r="C256" s="26" t="s">
        <v>293</v>
      </c>
      <c r="D256" s="26" t="s">
        <v>305</v>
      </c>
      <c r="E256" s="27" t="s">
        <v>17</v>
      </c>
      <c r="F256" s="26" t="s">
        <v>18</v>
      </c>
      <c r="G256" s="26" t="s">
        <v>29</v>
      </c>
      <c r="H256" s="28">
        <v>45292</v>
      </c>
      <c r="I256" s="19">
        <f>IF(F256="是",VLOOKUP(G256,[32]Sheet2!A:C,3,FALSE),VLOOKUP(G256,[32]Sheet2!A:B,2,FALSE))</f>
        <v>800</v>
      </c>
      <c r="J256" s="24" t="s">
        <v>20</v>
      </c>
      <c r="K256" s="25"/>
    </row>
    <row r="257" s="6" customFormat="1" ht="31" customHeight="1" spans="1:11">
      <c r="A257" s="19">
        <v>253</v>
      </c>
      <c r="B257" s="26" t="s">
        <v>184</v>
      </c>
      <c r="C257" s="26" t="s">
        <v>293</v>
      </c>
      <c r="D257" s="26" t="s">
        <v>306</v>
      </c>
      <c r="E257" s="27" t="s">
        <v>17</v>
      </c>
      <c r="F257" s="26" t="s">
        <v>18</v>
      </c>
      <c r="G257" s="26" t="s">
        <v>19</v>
      </c>
      <c r="H257" s="28">
        <v>45427</v>
      </c>
      <c r="I257" s="19">
        <f>IF(F257="是",VLOOKUP(G257,[32]Sheet2!A:C,3,FALSE),VLOOKUP(G257,[32]Sheet2!A:B,2,FALSE))</f>
        <v>600</v>
      </c>
      <c r="J257" s="24" t="s">
        <v>20</v>
      </c>
      <c r="K257" s="25"/>
    </row>
    <row r="258" s="6" customFormat="1" ht="31" customHeight="1" spans="1:11">
      <c r="A258" s="19">
        <v>254</v>
      </c>
      <c r="B258" s="26" t="s">
        <v>184</v>
      </c>
      <c r="C258" s="26" t="s">
        <v>293</v>
      </c>
      <c r="D258" s="26" t="s">
        <v>307</v>
      </c>
      <c r="E258" s="27" t="s">
        <v>17</v>
      </c>
      <c r="F258" s="26" t="s">
        <v>18</v>
      </c>
      <c r="G258" s="26" t="s">
        <v>19</v>
      </c>
      <c r="H258" s="28">
        <v>45368</v>
      </c>
      <c r="I258" s="19">
        <f>IF(F258="是",VLOOKUP(G258,[32]Sheet2!A:C,3,FALSE),VLOOKUP(G258,[32]Sheet2!A:B,2,FALSE))</f>
        <v>600</v>
      </c>
      <c r="J258" s="24" t="s">
        <v>20</v>
      </c>
      <c r="K258" s="25"/>
    </row>
    <row r="259" s="6" customFormat="1" ht="31" customHeight="1" spans="1:11">
      <c r="A259" s="19">
        <v>255</v>
      </c>
      <c r="B259" s="26" t="s">
        <v>184</v>
      </c>
      <c r="C259" s="26" t="s">
        <v>293</v>
      </c>
      <c r="D259" s="26" t="s">
        <v>308</v>
      </c>
      <c r="E259" s="27" t="s">
        <v>17</v>
      </c>
      <c r="F259" s="26" t="s">
        <v>18</v>
      </c>
      <c r="G259" s="26" t="s">
        <v>19</v>
      </c>
      <c r="H259" s="28">
        <v>45427</v>
      </c>
      <c r="I259" s="19">
        <f>IF(F259="是",VLOOKUP(G259,[32]Sheet2!A:C,3,FALSE),VLOOKUP(G259,[32]Sheet2!A:B,2,FALSE))</f>
        <v>600</v>
      </c>
      <c r="J259" s="24" t="s">
        <v>20</v>
      </c>
      <c r="K259" s="25"/>
    </row>
    <row r="260" s="6" customFormat="1" ht="31" customHeight="1" spans="1:11">
      <c r="A260" s="19">
        <v>256</v>
      </c>
      <c r="B260" s="26" t="s">
        <v>184</v>
      </c>
      <c r="C260" s="26" t="s">
        <v>293</v>
      </c>
      <c r="D260" s="26" t="s">
        <v>309</v>
      </c>
      <c r="E260" s="27" t="s">
        <v>17</v>
      </c>
      <c r="F260" s="26" t="s">
        <v>18</v>
      </c>
      <c r="G260" s="26" t="s">
        <v>19</v>
      </c>
      <c r="H260" s="28">
        <v>45454</v>
      </c>
      <c r="I260" s="19">
        <f>IF(F260="是",VLOOKUP(G260,[32]Sheet2!A:C,3,FALSE),VLOOKUP(G260,[32]Sheet2!A:B,2,FALSE))</f>
        <v>600</v>
      </c>
      <c r="J260" s="24" t="s">
        <v>20</v>
      </c>
      <c r="K260" s="25"/>
    </row>
    <row r="261" s="6" customFormat="1" ht="31" customHeight="1" spans="1:11">
      <c r="A261" s="19">
        <v>257</v>
      </c>
      <c r="B261" s="26" t="s">
        <v>184</v>
      </c>
      <c r="C261" s="26" t="s">
        <v>293</v>
      </c>
      <c r="D261" s="26" t="s">
        <v>310</v>
      </c>
      <c r="E261" s="27" t="s">
        <v>17</v>
      </c>
      <c r="F261" s="26" t="s">
        <v>18</v>
      </c>
      <c r="G261" s="26" t="s">
        <v>19</v>
      </c>
      <c r="H261" s="28">
        <v>45336</v>
      </c>
      <c r="I261" s="19">
        <f>IF(F261="是",VLOOKUP(G261,[32]Sheet2!A:C,3,FALSE),VLOOKUP(G261,[32]Sheet2!A:B,2,FALSE))</f>
        <v>600</v>
      </c>
      <c r="J261" s="24" t="s">
        <v>20</v>
      </c>
      <c r="K261" s="25"/>
    </row>
    <row r="262" s="6" customFormat="1" ht="31" customHeight="1" spans="1:11">
      <c r="A262" s="19">
        <v>258</v>
      </c>
      <c r="B262" s="26" t="s">
        <v>184</v>
      </c>
      <c r="C262" s="26" t="s">
        <v>293</v>
      </c>
      <c r="D262" s="26" t="s">
        <v>311</v>
      </c>
      <c r="E262" s="27" t="s">
        <v>17</v>
      </c>
      <c r="F262" s="26" t="s">
        <v>18</v>
      </c>
      <c r="G262" s="26" t="s">
        <v>69</v>
      </c>
      <c r="H262" s="28">
        <v>45336</v>
      </c>
      <c r="I262" s="19">
        <f>IF(F262="是",VLOOKUP(G262,[32]Sheet2!A:C,3,FALSE),VLOOKUP(G262,[32]Sheet2!A:B,2,FALSE))</f>
        <v>800</v>
      </c>
      <c r="J262" s="24" t="s">
        <v>20</v>
      </c>
      <c r="K262" s="25"/>
    </row>
    <row r="263" s="6" customFormat="1" ht="31" customHeight="1" spans="1:11">
      <c r="A263" s="19">
        <v>259</v>
      </c>
      <c r="B263" s="26" t="s">
        <v>184</v>
      </c>
      <c r="C263" s="26" t="s">
        <v>293</v>
      </c>
      <c r="D263" s="26" t="s">
        <v>312</v>
      </c>
      <c r="E263" s="27" t="s">
        <v>17</v>
      </c>
      <c r="F263" s="26" t="s">
        <v>18</v>
      </c>
      <c r="G263" s="26" t="s">
        <v>19</v>
      </c>
      <c r="H263" s="28">
        <v>45336</v>
      </c>
      <c r="I263" s="19">
        <f>IF(F263="是",VLOOKUP(G263,[32]Sheet2!A:C,3,FALSE),VLOOKUP(G263,[32]Sheet2!A:B,2,FALSE))</f>
        <v>600</v>
      </c>
      <c r="J263" s="24" t="s">
        <v>20</v>
      </c>
      <c r="K263" s="25"/>
    </row>
    <row r="264" s="6" customFormat="1" ht="31" customHeight="1" spans="1:11">
      <c r="A264" s="19">
        <v>260</v>
      </c>
      <c r="B264" s="26" t="s">
        <v>184</v>
      </c>
      <c r="C264" s="26" t="s">
        <v>293</v>
      </c>
      <c r="D264" s="26" t="s">
        <v>313</v>
      </c>
      <c r="E264" s="27" t="s">
        <v>17</v>
      </c>
      <c r="F264" s="26" t="s">
        <v>18</v>
      </c>
      <c r="G264" s="26" t="s">
        <v>19</v>
      </c>
      <c r="H264" s="28">
        <v>45305</v>
      </c>
      <c r="I264" s="19">
        <f>IF(F264="是",VLOOKUP(G264,[32]Sheet2!A:C,3,FALSE),VLOOKUP(G264,[32]Sheet2!A:B,2,FALSE))</f>
        <v>600</v>
      </c>
      <c r="J264" s="24" t="s">
        <v>20</v>
      </c>
      <c r="K264" s="25"/>
    </row>
    <row r="265" s="6" customFormat="1" ht="31" customHeight="1" spans="1:11">
      <c r="A265" s="19">
        <v>261</v>
      </c>
      <c r="B265" s="26" t="s">
        <v>184</v>
      </c>
      <c r="C265" s="26" t="s">
        <v>293</v>
      </c>
      <c r="D265" s="26" t="s">
        <v>314</v>
      </c>
      <c r="E265" s="27" t="s">
        <v>17</v>
      </c>
      <c r="F265" s="26" t="s">
        <v>18</v>
      </c>
      <c r="G265" s="26" t="s">
        <v>32</v>
      </c>
      <c r="H265" s="28">
        <v>45336</v>
      </c>
      <c r="I265" s="19">
        <f>IF(F265="是",VLOOKUP(G265,[32]Sheet2!A:C,3,FALSE),VLOOKUP(G265,[32]Sheet2!A:B,2,FALSE))</f>
        <v>800</v>
      </c>
      <c r="J265" s="24" t="s">
        <v>20</v>
      </c>
      <c r="K265" s="25"/>
    </row>
    <row r="266" s="6" customFormat="1" ht="31" customHeight="1" spans="1:11">
      <c r="A266" s="19">
        <v>262</v>
      </c>
      <c r="B266" s="26" t="s">
        <v>184</v>
      </c>
      <c r="C266" s="26" t="s">
        <v>293</v>
      </c>
      <c r="D266" s="26" t="s">
        <v>315</v>
      </c>
      <c r="E266" s="27" t="s">
        <v>17</v>
      </c>
      <c r="F266" s="26" t="s">
        <v>18</v>
      </c>
      <c r="G266" s="26" t="s">
        <v>19</v>
      </c>
      <c r="H266" s="28">
        <v>45292</v>
      </c>
      <c r="I266" s="19">
        <f>IF(F266="是",VLOOKUP(G266,[32]Sheet2!A:C,3,FALSE),VLOOKUP(G266,[32]Sheet2!A:B,2,FALSE))</f>
        <v>600</v>
      </c>
      <c r="J266" s="24" t="s">
        <v>20</v>
      </c>
      <c r="K266" s="25"/>
    </row>
    <row r="267" s="6" customFormat="1" ht="31" customHeight="1" spans="1:11">
      <c r="A267" s="19">
        <v>263</v>
      </c>
      <c r="B267" s="26" t="s">
        <v>184</v>
      </c>
      <c r="C267" s="26" t="s">
        <v>293</v>
      </c>
      <c r="D267" s="26" t="s">
        <v>316</v>
      </c>
      <c r="E267" s="27" t="s">
        <v>17</v>
      </c>
      <c r="F267" s="26" t="s">
        <v>18</v>
      </c>
      <c r="G267" s="26" t="s">
        <v>19</v>
      </c>
      <c r="H267" s="28">
        <v>45352</v>
      </c>
      <c r="I267" s="19">
        <f>IF(F267="是",VLOOKUP(G267,[32]Sheet2!A:C,3,FALSE),VLOOKUP(G267,[32]Sheet2!A:B,2,FALSE))</f>
        <v>600</v>
      </c>
      <c r="J267" s="24" t="s">
        <v>20</v>
      </c>
      <c r="K267" s="25"/>
    </row>
    <row r="268" s="6" customFormat="1" ht="31" customHeight="1" spans="1:11">
      <c r="A268" s="19">
        <v>264</v>
      </c>
      <c r="B268" s="26" t="s">
        <v>184</v>
      </c>
      <c r="C268" s="26" t="s">
        <v>293</v>
      </c>
      <c r="D268" s="26" t="s">
        <v>317</v>
      </c>
      <c r="E268" s="27" t="s">
        <v>17</v>
      </c>
      <c r="F268" s="26" t="s">
        <v>18</v>
      </c>
      <c r="G268" s="26" t="s">
        <v>19</v>
      </c>
      <c r="H268" s="28">
        <v>45352</v>
      </c>
      <c r="I268" s="19">
        <f>IF(F268="是",VLOOKUP(G268,[32]Sheet2!A:C,3,FALSE),VLOOKUP(G268,[32]Sheet2!A:B,2,FALSE))</f>
        <v>600</v>
      </c>
      <c r="J268" s="24" t="s">
        <v>20</v>
      </c>
      <c r="K268" s="25"/>
    </row>
    <row r="269" s="6" customFormat="1" ht="31" customHeight="1" spans="1:11">
      <c r="A269" s="19">
        <v>265</v>
      </c>
      <c r="B269" s="26" t="s">
        <v>184</v>
      </c>
      <c r="C269" s="26" t="s">
        <v>293</v>
      </c>
      <c r="D269" s="26" t="s">
        <v>318</v>
      </c>
      <c r="E269" s="27" t="s">
        <v>17</v>
      </c>
      <c r="F269" s="26" t="s">
        <v>18</v>
      </c>
      <c r="G269" s="26" t="s">
        <v>29</v>
      </c>
      <c r="H269" s="28">
        <v>45292</v>
      </c>
      <c r="I269" s="19">
        <f>IF(F269="是",VLOOKUP(G269,[32]Sheet2!A:C,3,FALSE),VLOOKUP(G269,[32]Sheet2!A:B,2,FALSE))</f>
        <v>800</v>
      </c>
      <c r="J269" s="24" t="s">
        <v>20</v>
      </c>
      <c r="K269" s="25"/>
    </row>
    <row r="270" s="6" customFormat="1" ht="31" customHeight="1" spans="1:11">
      <c r="A270" s="19">
        <v>266</v>
      </c>
      <c r="B270" s="26" t="s">
        <v>184</v>
      </c>
      <c r="C270" s="26" t="s">
        <v>293</v>
      </c>
      <c r="D270" s="26" t="s">
        <v>319</v>
      </c>
      <c r="E270" s="27" t="s">
        <v>17</v>
      </c>
      <c r="F270" s="26" t="s">
        <v>18</v>
      </c>
      <c r="G270" s="26" t="s">
        <v>19</v>
      </c>
      <c r="H270" s="28">
        <v>45323</v>
      </c>
      <c r="I270" s="19">
        <f>IF(F270="是",VLOOKUP(G270,[32]Sheet2!A:C,3,FALSE),VLOOKUP(G270,[32]Sheet2!A:B,2,FALSE))</f>
        <v>600</v>
      </c>
      <c r="J270" s="24" t="s">
        <v>20</v>
      </c>
      <c r="K270" s="25"/>
    </row>
    <row r="271" s="6" customFormat="1" ht="31" customHeight="1" spans="1:11">
      <c r="A271" s="19">
        <v>267</v>
      </c>
      <c r="B271" s="26" t="s">
        <v>184</v>
      </c>
      <c r="C271" s="26" t="s">
        <v>293</v>
      </c>
      <c r="D271" s="26" t="s">
        <v>320</v>
      </c>
      <c r="E271" s="27" t="s">
        <v>17</v>
      </c>
      <c r="F271" s="26" t="s">
        <v>18</v>
      </c>
      <c r="G271" s="26" t="s">
        <v>78</v>
      </c>
      <c r="H271" s="28">
        <v>45509</v>
      </c>
      <c r="I271" s="19">
        <f>IF(F271="是",VLOOKUP(G271,[32]Sheet2!A:C,3,FALSE),VLOOKUP(G271,[32]Sheet2!A:B,2,FALSE))</f>
        <v>800</v>
      </c>
      <c r="J271" s="24" t="s">
        <v>20</v>
      </c>
      <c r="K271" s="25"/>
    </row>
    <row r="272" s="6" customFormat="1" ht="31" customHeight="1" spans="1:11">
      <c r="A272" s="19">
        <v>268</v>
      </c>
      <c r="B272" s="26" t="s">
        <v>184</v>
      </c>
      <c r="C272" s="26" t="s">
        <v>293</v>
      </c>
      <c r="D272" s="26" t="s">
        <v>321</v>
      </c>
      <c r="E272" s="27" t="s">
        <v>17</v>
      </c>
      <c r="F272" s="26" t="s">
        <v>18</v>
      </c>
      <c r="G272" s="26" t="s">
        <v>19</v>
      </c>
      <c r="H272" s="28">
        <v>45378</v>
      </c>
      <c r="I272" s="19">
        <f>IF(F272="是",VLOOKUP(G272,[32]Sheet2!A:C,3,FALSE),VLOOKUP(G272,[32]Sheet2!A:B,2,FALSE))</f>
        <v>600</v>
      </c>
      <c r="J272" s="24" t="s">
        <v>20</v>
      </c>
      <c r="K272" s="25"/>
    </row>
    <row r="273" s="6" customFormat="1" ht="31" customHeight="1" spans="1:11">
      <c r="A273" s="19">
        <v>269</v>
      </c>
      <c r="B273" s="26" t="s">
        <v>184</v>
      </c>
      <c r="C273" s="26" t="s">
        <v>293</v>
      </c>
      <c r="D273" s="26" t="s">
        <v>322</v>
      </c>
      <c r="E273" s="27" t="s">
        <v>17</v>
      </c>
      <c r="F273" s="26" t="s">
        <v>18</v>
      </c>
      <c r="G273" s="26" t="s">
        <v>19</v>
      </c>
      <c r="H273" s="28">
        <v>45347</v>
      </c>
      <c r="I273" s="19">
        <f>IF(F273="是",VLOOKUP(G273,[32]Sheet2!A:C,3,FALSE),VLOOKUP(G273,[32]Sheet2!A:B,2,FALSE))</f>
        <v>600</v>
      </c>
      <c r="J273" s="24" t="s">
        <v>20</v>
      </c>
      <c r="K273" s="25"/>
    </row>
    <row r="274" s="6" customFormat="1" ht="31" customHeight="1" spans="1:11">
      <c r="A274" s="19">
        <v>270</v>
      </c>
      <c r="B274" s="26" t="s">
        <v>184</v>
      </c>
      <c r="C274" s="26" t="s">
        <v>293</v>
      </c>
      <c r="D274" s="26" t="s">
        <v>323</v>
      </c>
      <c r="E274" s="27" t="s">
        <v>17</v>
      </c>
      <c r="F274" s="26" t="s">
        <v>18</v>
      </c>
      <c r="G274" s="26" t="s">
        <v>324</v>
      </c>
      <c r="H274" s="28">
        <v>45352</v>
      </c>
      <c r="I274" s="19">
        <f>IF(F274="是",VLOOKUP(G274,[32]Sheet2!A:C,3,FALSE),VLOOKUP(G274,[32]Sheet2!A:B,2,FALSE))</f>
        <v>800</v>
      </c>
      <c r="J274" s="24" t="s">
        <v>20</v>
      </c>
      <c r="K274" s="25"/>
    </row>
    <row r="275" s="6" customFormat="1" ht="31" customHeight="1" spans="1:11">
      <c r="A275" s="19">
        <v>271</v>
      </c>
      <c r="B275" s="26" t="s">
        <v>184</v>
      </c>
      <c r="C275" s="26" t="s">
        <v>293</v>
      </c>
      <c r="D275" s="26" t="s">
        <v>325</v>
      </c>
      <c r="E275" s="27" t="s">
        <v>17</v>
      </c>
      <c r="F275" s="26" t="s">
        <v>18</v>
      </c>
      <c r="G275" s="26" t="s">
        <v>19</v>
      </c>
      <c r="H275" s="28">
        <v>45337</v>
      </c>
      <c r="I275" s="19">
        <f>IF(F275="是",VLOOKUP(G275,[32]Sheet2!A:C,3,FALSE),VLOOKUP(G275,[32]Sheet2!A:B,2,FALSE))</f>
        <v>600</v>
      </c>
      <c r="J275" s="24" t="s">
        <v>20</v>
      </c>
      <c r="K275" s="25"/>
    </row>
    <row r="276" s="6" customFormat="1" ht="31" customHeight="1" spans="1:11">
      <c r="A276" s="19">
        <v>272</v>
      </c>
      <c r="B276" s="26" t="s">
        <v>184</v>
      </c>
      <c r="C276" s="26" t="s">
        <v>293</v>
      </c>
      <c r="D276" s="26" t="s">
        <v>326</v>
      </c>
      <c r="E276" s="27" t="s">
        <v>17</v>
      </c>
      <c r="F276" s="26" t="s">
        <v>18</v>
      </c>
      <c r="G276" s="26" t="s">
        <v>19</v>
      </c>
      <c r="H276" s="28">
        <v>45347</v>
      </c>
      <c r="I276" s="19">
        <f>IF(F276="是",VLOOKUP(G276,[32]Sheet2!A:C,3,FALSE),VLOOKUP(G276,[32]Sheet2!A:B,2,FALSE))</f>
        <v>600</v>
      </c>
      <c r="J276" s="24" t="s">
        <v>20</v>
      </c>
      <c r="K276" s="25"/>
    </row>
    <row r="277" s="6" customFormat="1" ht="31" customHeight="1" spans="1:11">
      <c r="A277" s="19">
        <v>273</v>
      </c>
      <c r="B277" s="26" t="s">
        <v>184</v>
      </c>
      <c r="C277" s="26" t="s">
        <v>293</v>
      </c>
      <c r="D277" s="26" t="s">
        <v>327</v>
      </c>
      <c r="E277" s="27" t="s">
        <v>17</v>
      </c>
      <c r="F277" s="26" t="s">
        <v>18</v>
      </c>
      <c r="G277" s="26" t="s">
        <v>19</v>
      </c>
      <c r="H277" s="28">
        <v>45460</v>
      </c>
      <c r="I277" s="19">
        <f>IF(F277="是",VLOOKUP(G277,[32]Sheet2!A:C,3,FALSE),VLOOKUP(G277,[32]Sheet2!A:B,2,FALSE))</f>
        <v>600</v>
      </c>
      <c r="J277" s="24" t="s">
        <v>20</v>
      </c>
      <c r="K277" s="25"/>
    </row>
    <row r="278" s="6" customFormat="1" ht="31" customHeight="1" spans="1:11">
      <c r="A278" s="19">
        <v>274</v>
      </c>
      <c r="B278" s="26" t="s">
        <v>184</v>
      </c>
      <c r="C278" s="26" t="s">
        <v>293</v>
      </c>
      <c r="D278" s="26" t="s">
        <v>328</v>
      </c>
      <c r="E278" s="27" t="s">
        <v>17</v>
      </c>
      <c r="F278" s="26" t="s">
        <v>18</v>
      </c>
      <c r="G278" s="26" t="s">
        <v>19</v>
      </c>
      <c r="H278" s="28">
        <v>45383</v>
      </c>
      <c r="I278" s="19">
        <f>IF(F278="是",VLOOKUP(G278,[32]Sheet2!A:C,3,FALSE),VLOOKUP(G278,[32]Sheet2!A:B,2,FALSE))</f>
        <v>600</v>
      </c>
      <c r="J278" s="24" t="s">
        <v>20</v>
      </c>
      <c r="K278" s="25"/>
    </row>
    <row r="279" s="6" customFormat="1" ht="31" customHeight="1" spans="1:11">
      <c r="A279" s="19">
        <v>275</v>
      </c>
      <c r="B279" s="26" t="s">
        <v>184</v>
      </c>
      <c r="C279" s="26" t="s">
        <v>293</v>
      </c>
      <c r="D279" s="26" t="s">
        <v>329</v>
      </c>
      <c r="E279" s="27" t="s">
        <v>17</v>
      </c>
      <c r="F279" s="26" t="s">
        <v>18</v>
      </c>
      <c r="G279" s="26" t="s">
        <v>29</v>
      </c>
      <c r="H279" s="28">
        <v>45364</v>
      </c>
      <c r="I279" s="19">
        <f>IF(F279="是",VLOOKUP(G279,[32]Sheet2!A:C,3,FALSE),VLOOKUP(G279,[32]Sheet2!A:B,2,FALSE))</f>
        <v>800</v>
      </c>
      <c r="J279" s="24" t="s">
        <v>20</v>
      </c>
      <c r="K279" s="25"/>
    </row>
    <row r="280" s="6" customFormat="1" ht="31" customHeight="1" spans="1:11">
      <c r="A280" s="19">
        <v>276</v>
      </c>
      <c r="B280" s="26" t="s">
        <v>184</v>
      </c>
      <c r="C280" s="26" t="s">
        <v>293</v>
      </c>
      <c r="D280" s="26" t="s">
        <v>330</v>
      </c>
      <c r="E280" s="27" t="s">
        <v>17</v>
      </c>
      <c r="F280" s="26" t="s">
        <v>18</v>
      </c>
      <c r="G280" s="26" t="s">
        <v>19</v>
      </c>
      <c r="H280" s="28">
        <v>45398</v>
      </c>
      <c r="I280" s="19">
        <f>IF(F280="是",VLOOKUP(G280,[32]Sheet2!A:C,3,FALSE),VLOOKUP(G280,[32]Sheet2!A:B,2,FALSE))</f>
        <v>600</v>
      </c>
      <c r="J280" s="24" t="s">
        <v>20</v>
      </c>
      <c r="K280" s="25"/>
    </row>
    <row r="281" s="6" customFormat="1" ht="31" customHeight="1" spans="1:11">
      <c r="A281" s="19">
        <v>277</v>
      </c>
      <c r="B281" s="26" t="s">
        <v>184</v>
      </c>
      <c r="C281" s="26" t="s">
        <v>293</v>
      </c>
      <c r="D281" s="26" t="s">
        <v>331</v>
      </c>
      <c r="E281" s="27" t="s">
        <v>17</v>
      </c>
      <c r="F281" s="26" t="s">
        <v>18</v>
      </c>
      <c r="G281" s="26" t="s">
        <v>19</v>
      </c>
      <c r="H281" s="28">
        <v>45352</v>
      </c>
      <c r="I281" s="19">
        <f>IF(F281="是",VLOOKUP(G281,[32]Sheet2!A:C,3,FALSE),VLOOKUP(G281,[32]Sheet2!A:B,2,FALSE))</f>
        <v>600</v>
      </c>
      <c r="J281" s="24" t="s">
        <v>20</v>
      </c>
      <c r="K281" s="25"/>
    </row>
    <row r="282" s="6" customFormat="1" ht="31" customHeight="1" spans="1:11">
      <c r="A282" s="19">
        <v>278</v>
      </c>
      <c r="B282" s="26" t="s">
        <v>184</v>
      </c>
      <c r="C282" s="26" t="s">
        <v>293</v>
      </c>
      <c r="D282" s="26" t="s">
        <v>332</v>
      </c>
      <c r="E282" s="27" t="s">
        <v>17</v>
      </c>
      <c r="F282" s="26" t="s">
        <v>18</v>
      </c>
      <c r="G282" s="26" t="s">
        <v>19</v>
      </c>
      <c r="H282" s="28">
        <v>45383</v>
      </c>
      <c r="I282" s="19">
        <f>IF(F282="是",VLOOKUP(G282,[32]Sheet2!A:C,3,FALSE),VLOOKUP(G282,[32]Sheet2!A:B,2,FALSE))</f>
        <v>600</v>
      </c>
      <c r="J282" s="24" t="s">
        <v>20</v>
      </c>
      <c r="K282" s="25"/>
    </row>
    <row r="283" s="6" customFormat="1" ht="31" customHeight="1" spans="1:11">
      <c r="A283" s="19">
        <v>279</v>
      </c>
      <c r="B283" s="26" t="s">
        <v>184</v>
      </c>
      <c r="C283" s="26" t="s">
        <v>293</v>
      </c>
      <c r="D283" s="26" t="s">
        <v>333</v>
      </c>
      <c r="E283" s="27" t="s">
        <v>17</v>
      </c>
      <c r="F283" s="26" t="s">
        <v>18</v>
      </c>
      <c r="G283" s="26" t="s">
        <v>32</v>
      </c>
      <c r="H283" s="28">
        <v>45292</v>
      </c>
      <c r="I283" s="19">
        <f>IF(F283="是",VLOOKUP(G283,[32]Sheet2!A:C,3,FALSE),VLOOKUP(G283,[32]Sheet2!A:B,2,FALSE))</f>
        <v>800</v>
      </c>
      <c r="J283" s="24" t="s">
        <v>20</v>
      </c>
      <c r="K283" s="25"/>
    </row>
    <row r="284" s="6" customFormat="1" ht="31" customHeight="1" spans="1:11">
      <c r="A284" s="19">
        <v>280</v>
      </c>
      <c r="B284" s="26" t="s">
        <v>184</v>
      </c>
      <c r="C284" s="26" t="s">
        <v>293</v>
      </c>
      <c r="D284" s="26" t="s">
        <v>334</v>
      </c>
      <c r="E284" s="27" t="s">
        <v>17</v>
      </c>
      <c r="F284" s="26" t="s">
        <v>18</v>
      </c>
      <c r="G284" s="26" t="s">
        <v>19</v>
      </c>
      <c r="H284" s="28">
        <v>45392</v>
      </c>
      <c r="I284" s="19">
        <f>IF(F284="是",VLOOKUP(G284,[32]Sheet2!A:C,3,FALSE),VLOOKUP(G284,[32]Sheet2!A:B,2,FALSE))</f>
        <v>600</v>
      </c>
      <c r="J284" s="24" t="s">
        <v>20</v>
      </c>
      <c r="K284" s="25"/>
    </row>
    <row r="285" s="6" customFormat="1" ht="31" customHeight="1" spans="1:11">
      <c r="A285" s="19">
        <v>281</v>
      </c>
      <c r="B285" s="26" t="s">
        <v>184</v>
      </c>
      <c r="C285" s="26" t="s">
        <v>293</v>
      </c>
      <c r="D285" s="26" t="s">
        <v>335</v>
      </c>
      <c r="E285" s="27" t="s">
        <v>17</v>
      </c>
      <c r="F285" s="26" t="s">
        <v>18</v>
      </c>
      <c r="G285" s="26" t="s">
        <v>19</v>
      </c>
      <c r="H285" s="28">
        <v>45366</v>
      </c>
      <c r="I285" s="19">
        <f>IF(F285="是",VLOOKUP(G285,[32]Sheet2!A:C,3,FALSE),VLOOKUP(G285,[32]Sheet2!A:B,2,FALSE))</f>
        <v>600</v>
      </c>
      <c r="J285" s="24" t="s">
        <v>20</v>
      </c>
      <c r="K285" s="25"/>
    </row>
    <row r="286" s="6" customFormat="1" ht="31" customHeight="1" spans="1:11">
      <c r="A286" s="19">
        <v>282</v>
      </c>
      <c r="B286" s="26" t="s">
        <v>184</v>
      </c>
      <c r="C286" s="26" t="s">
        <v>293</v>
      </c>
      <c r="D286" s="26" t="s">
        <v>336</v>
      </c>
      <c r="E286" s="27" t="s">
        <v>17</v>
      </c>
      <c r="F286" s="26" t="s">
        <v>18</v>
      </c>
      <c r="G286" s="26" t="s">
        <v>19</v>
      </c>
      <c r="H286" s="28">
        <v>45349</v>
      </c>
      <c r="I286" s="19">
        <f>IF(F286="是",VLOOKUP(G286,[32]Sheet2!A:C,3,FALSE),VLOOKUP(G286,[32]Sheet2!A:B,2,FALSE))</f>
        <v>600</v>
      </c>
      <c r="J286" s="24" t="s">
        <v>20</v>
      </c>
      <c r="K286" s="25"/>
    </row>
    <row r="287" s="6" customFormat="1" ht="31" customHeight="1" spans="1:11">
      <c r="A287" s="19">
        <v>283</v>
      </c>
      <c r="B287" s="26" t="s">
        <v>184</v>
      </c>
      <c r="C287" s="26" t="s">
        <v>293</v>
      </c>
      <c r="D287" s="26" t="s">
        <v>337</v>
      </c>
      <c r="E287" s="27" t="s">
        <v>17</v>
      </c>
      <c r="F287" s="26" t="s">
        <v>18</v>
      </c>
      <c r="G287" s="26" t="s">
        <v>19</v>
      </c>
      <c r="H287" s="28">
        <v>45413</v>
      </c>
      <c r="I287" s="19">
        <f>IF(F287="是",VLOOKUP(G287,[32]Sheet2!A:C,3,FALSE),VLOOKUP(G287,[32]Sheet2!A:B,2,FALSE))</f>
        <v>600</v>
      </c>
      <c r="J287" s="24" t="s">
        <v>20</v>
      </c>
      <c r="K287" s="25"/>
    </row>
    <row r="288" s="6" customFormat="1" ht="31" customHeight="1" spans="1:11">
      <c r="A288" s="19">
        <v>284</v>
      </c>
      <c r="B288" s="26" t="s">
        <v>184</v>
      </c>
      <c r="C288" s="26" t="s">
        <v>293</v>
      </c>
      <c r="D288" s="26" t="s">
        <v>338</v>
      </c>
      <c r="E288" s="27" t="s">
        <v>17</v>
      </c>
      <c r="F288" s="26" t="s">
        <v>18</v>
      </c>
      <c r="G288" s="26" t="s">
        <v>19</v>
      </c>
      <c r="H288" s="28">
        <v>45332</v>
      </c>
      <c r="I288" s="19">
        <f>IF(F288="是",VLOOKUP(G288,[32]Sheet2!A:C,3,FALSE),VLOOKUP(G288,[32]Sheet2!A:B,2,FALSE))</f>
        <v>600</v>
      </c>
      <c r="J288" s="24" t="s">
        <v>20</v>
      </c>
      <c r="K288" s="25"/>
    </row>
    <row r="289" s="6" customFormat="1" ht="31" customHeight="1" spans="1:11">
      <c r="A289" s="19">
        <v>285</v>
      </c>
      <c r="B289" s="26" t="s">
        <v>184</v>
      </c>
      <c r="C289" s="26" t="s">
        <v>293</v>
      </c>
      <c r="D289" s="26" t="s">
        <v>339</v>
      </c>
      <c r="E289" s="27" t="s">
        <v>17</v>
      </c>
      <c r="F289" s="26" t="s">
        <v>18</v>
      </c>
      <c r="G289" s="26" t="s">
        <v>340</v>
      </c>
      <c r="H289" s="28">
        <v>45383</v>
      </c>
      <c r="I289" s="19">
        <f>IF(F289="是",VLOOKUP(G289,[32]Sheet2!A:C,3,FALSE),VLOOKUP(G289,[32]Sheet2!A:B,2,FALSE))</f>
        <v>800</v>
      </c>
      <c r="J289" s="24" t="s">
        <v>20</v>
      </c>
      <c r="K289" s="25"/>
    </row>
    <row r="290" s="6" customFormat="1" ht="31" customHeight="1" spans="1:11">
      <c r="A290" s="19">
        <v>286</v>
      </c>
      <c r="B290" s="26" t="s">
        <v>184</v>
      </c>
      <c r="C290" s="26" t="s">
        <v>293</v>
      </c>
      <c r="D290" s="26" t="s">
        <v>341</v>
      </c>
      <c r="E290" s="27" t="s">
        <v>17</v>
      </c>
      <c r="F290" s="26" t="s">
        <v>18</v>
      </c>
      <c r="G290" s="26" t="s">
        <v>19</v>
      </c>
      <c r="H290" s="28">
        <v>45445</v>
      </c>
      <c r="I290" s="19">
        <f>IF(F290="是",VLOOKUP(G290,[32]Sheet2!A:C,3,FALSE),VLOOKUP(G290,[32]Sheet2!A:B,2,FALSE))</f>
        <v>600</v>
      </c>
      <c r="J290" s="24" t="s">
        <v>20</v>
      </c>
      <c r="K290" s="25"/>
    </row>
    <row r="291" s="6" customFormat="1" ht="31" customHeight="1" spans="1:11">
      <c r="A291" s="19">
        <v>287</v>
      </c>
      <c r="B291" s="26" t="s">
        <v>184</v>
      </c>
      <c r="C291" s="26" t="s">
        <v>293</v>
      </c>
      <c r="D291" s="26" t="s">
        <v>342</v>
      </c>
      <c r="E291" s="27" t="s">
        <v>17</v>
      </c>
      <c r="F291" s="26" t="s">
        <v>18</v>
      </c>
      <c r="G291" s="26" t="s">
        <v>19</v>
      </c>
      <c r="H291" s="28">
        <v>45343</v>
      </c>
      <c r="I291" s="19">
        <f>IF(F291="是",VLOOKUP(G291,[32]Sheet2!A:C,3,FALSE),VLOOKUP(G291,[32]Sheet2!A:B,2,FALSE))</f>
        <v>600</v>
      </c>
      <c r="J291" s="24" t="s">
        <v>20</v>
      </c>
      <c r="K291" s="25"/>
    </row>
    <row r="292" s="6" customFormat="1" ht="31" customHeight="1" spans="1:11">
      <c r="A292" s="19">
        <v>288</v>
      </c>
      <c r="B292" s="26" t="s">
        <v>184</v>
      </c>
      <c r="C292" s="26" t="s">
        <v>293</v>
      </c>
      <c r="D292" s="26" t="s">
        <v>343</v>
      </c>
      <c r="E292" s="27" t="s">
        <v>17</v>
      </c>
      <c r="F292" s="26" t="s">
        <v>18</v>
      </c>
      <c r="G292" s="26" t="s">
        <v>19</v>
      </c>
      <c r="H292" s="28">
        <v>45341</v>
      </c>
      <c r="I292" s="19">
        <f>IF(F292="是",VLOOKUP(G292,[32]Sheet2!A:C,3,FALSE),VLOOKUP(G292,[32]Sheet2!A:B,2,FALSE))</f>
        <v>600</v>
      </c>
      <c r="J292" s="24" t="s">
        <v>20</v>
      </c>
      <c r="K292" s="25"/>
    </row>
    <row r="293" s="6" customFormat="1" ht="31" customHeight="1" spans="1:11">
      <c r="A293" s="19">
        <v>289</v>
      </c>
      <c r="B293" s="26" t="s">
        <v>184</v>
      </c>
      <c r="C293" s="26" t="s">
        <v>293</v>
      </c>
      <c r="D293" s="26" t="s">
        <v>344</v>
      </c>
      <c r="E293" s="27" t="s">
        <v>17</v>
      </c>
      <c r="F293" s="26" t="s">
        <v>18</v>
      </c>
      <c r="G293" s="26" t="s">
        <v>19</v>
      </c>
      <c r="H293" s="28">
        <v>45383</v>
      </c>
      <c r="I293" s="19">
        <f>IF(F293="是",VLOOKUP(G293,[32]Sheet2!A:C,3,FALSE),VLOOKUP(G293,[32]Sheet2!A:B,2,FALSE))</f>
        <v>600</v>
      </c>
      <c r="J293" s="24" t="s">
        <v>20</v>
      </c>
      <c r="K293" s="25"/>
    </row>
    <row r="294" s="6" customFormat="1" ht="31" customHeight="1" spans="1:11">
      <c r="A294" s="19">
        <v>290</v>
      </c>
      <c r="B294" s="26" t="s">
        <v>184</v>
      </c>
      <c r="C294" s="26" t="s">
        <v>293</v>
      </c>
      <c r="D294" s="26" t="s">
        <v>345</v>
      </c>
      <c r="E294" s="27" t="s">
        <v>17</v>
      </c>
      <c r="F294" s="26" t="s">
        <v>18</v>
      </c>
      <c r="G294" s="26" t="s">
        <v>19</v>
      </c>
      <c r="H294" s="28">
        <v>45338</v>
      </c>
      <c r="I294" s="19">
        <f>IF(F294="是",VLOOKUP(G294,[32]Sheet2!A:C,3,FALSE),VLOOKUP(G294,[32]Sheet2!A:B,2,FALSE))</f>
        <v>600</v>
      </c>
      <c r="J294" s="24" t="s">
        <v>20</v>
      </c>
      <c r="K294" s="25"/>
    </row>
    <row r="295" s="6" customFormat="1" ht="31" customHeight="1" spans="1:11">
      <c r="A295" s="19">
        <v>291</v>
      </c>
      <c r="B295" s="26" t="s">
        <v>184</v>
      </c>
      <c r="C295" s="26" t="s">
        <v>293</v>
      </c>
      <c r="D295" s="26" t="s">
        <v>346</v>
      </c>
      <c r="E295" s="27" t="s">
        <v>17</v>
      </c>
      <c r="F295" s="26" t="s">
        <v>18</v>
      </c>
      <c r="G295" s="26" t="s">
        <v>19</v>
      </c>
      <c r="H295" s="28">
        <v>45323</v>
      </c>
      <c r="I295" s="19">
        <f>IF(F295="是",VLOOKUP(G295,[32]Sheet2!A:C,3,FALSE),VLOOKUP(G295,[32]Sheet2!A:B,2,FALSE))</f>
        <v>600</v>
      </c>
      <c r="J295" s="24" t="s">
        <v>20</v>
      </c>
      <c r="K295" s="25"/>
    </row>
    <row r="296" s="6" customFormat="1" ht="31" customHeight="1" spans="1:11">
      <c r="A296" s="19">
        <v>292</v>
      </c>
      <c r="B296" s="26" t="s">
        <v>184</v>
      </c>
      <c r="C296" s="26" t="s">
        <v>293</v>
      </c>
      <c r="D296" s="26" t="s">
        <v>347</v>
      </c>
      <c r="E296" s="27" t="s">
        <v>17</v>
      </c>
      <c r="F296" s="26" t="s">
        <v>18</v>
      </c>
      <c r="G296" s="26" t="s">
        <v>19</v>
      </c>
      <c r="H296" s="28">
        <v>45348</v>
      </c>
      <c r="I296" s="19">
        <f>IF(F296="是",VLOOKUP(G296,[32]Sheet2!A:C,3,FALSE),VLOOKUP(G296,[32]Sheet2!A:B,2,FALSE))</f>
        <v>600</v>
      </c>
      <c r="J296" s="24" t="s">
        <v>20</v>
      </c>
      <c r="K296" s="25"/>
    </row>
    <row r="297" s="6" customFormat="1" ht="31" customHeight="1" spans="1:11">
      <c r="A297" s="19">
        <v>293</v>
      </c>
      <c r="B297" s="26" t="s">
        <v>184</v>
      </c>
      <c r="C297" s="26" t="s">
        <v>293</v>
      </c>
      <c r="D297" s="26" t="s">
        <v>348</v>
      </c>
      <c r="E297" s="27" t="s">
        <v>17</v>
      </c>
      <c r="F297" s="26" t="s">
        <v>18</v>
      </c>
      <c r="G297" s="26" t="s">
        <v>19</v>
      </c>
      <c r="H297" s="28">
        <v>45342</v>
      </c>
      <c r="I297" s="19">
        <f>IF(F297="是",VLOOKUP(G297,[32]Sheet2!A:C,3,FALSE),VLOOKUP(G297,[32]Sheet2!A:B,2,FALSE))</f>
        <v>600</v>
      </c>
      <c r="J297" s="24" t="s">
        <v>20</v>
      </c>
      <c r="K297" s="25"/>
    </row>
    <row r="298" s="6" customFormat="1" ht="31" customHeight="1" spans="1:11">
      <c r="A298" s="19">
        <v>294</v>
      </c>
      <c r="B298" s="26" t="s">
        <v>184</v>
      </c>
      <c r="C298" s="26" t="s">
        <v>293</v>
      </c>
      <c r="D298" s="26" t="s">
        <v>349</v>
      </c>
      <c r="E298" s="27" t="s">
        <v>17</v>
      </c>
      <c r="F298" s="26" t="s">
        <v>18</v>
      </c>
      <c r="G298" s="26" t="s">
        <v>19</v>
      </c>
      <c r="H298" s="28">
        <v>45342</v>
      </c>
      <c r="I298" s="19">
        <f>IF(F298="是",VLOOKUP(G298,[32]Sheet2!A:C,3,FALSE),VLOOKUP(G298,[32]Sheet2!A:B,2,FALSE))</f>
        <v>600</v>
      </c>
      <c r="J298" s="24" t="s">
        <v>20</v>
      </c>
      <c r="K298" s="25"/>
    </row>
    <row r="299" s="6" customFormat="1" ht="31" customHeight="1" spans="1:11">
      <c r="A299" s="19">
        <v>295</v>
      </c>
      <c r="B299" s="26" t="s">
        <v>184</v>
      </c>
      <c r="C299" s="26" t="s">
        <v>293</v>
      </c>
      <c r="D299" s="26" t="s">
        <v>350</v>
      </c>
      <c r="E299" s="27" t="s">
        <v>17</v>
      </c>
      <c r="F299" s="26" t="s">
        <v>18</v>
      </c>
      <c r="G299" s="26" t="s">
        <v>351</v>
      </c>
      <c r="H299" s="28">
        <v>45393</v>
      </c>
      <c r="I299" s="19">
        <f>IF(F299="是",VLOOKUP(G299,[32]Sheet2!A:C,3,FALSE),VLOOKUP(G299,[32]Sheet2!A:B,2,FALSE))</f>
        <v>800</v>
      </c>
      <c r="J299" s="24" t="s">
        <v>20</v>
      </c>
      <c r="K299" s="25"/>
    </row>
    <row r="300" s="6" customFormat="1" ht="31" customHeight="1" spans="1:11">
      <c r="A300" s="19">
        <v>296</v>
      </c>
      <c r="B300" s="26" t="s">
        <v>184</v>
      </c>
      <c r="C300" s="26" t="s">
        <v>293</v>
      </c>
      <c r="D300" s="26" t="s">
        <v>352</v>
      </c>
      <c r="E300" s="27" t="s">
        <v>17</v>
      </c>
      <c r="F300" s="26" t="s">
        <v>18</v>
      </c>
      <c r="G300" s="26" t="s">
        <v>19</v>
      </c>
      <c r="H300" s="28">
        <v>45323</v>
      </c>
      <c r="I300" s="19">
        <f>IF(F300="是",VLOOKUP(G300,[32]Sheet2!A:C,3,FALSE),VLOOKUP(G300,[32]Sheet2!A:B,2,FALSE))</f>
        <v>600</v>
      </c>
      <c r="J300" s="24" t="s">
        <v>20</v>
      </c>
      <c r="K300" s="25"/>
    </row>
    <row r="301" s="6" customFormat="1" ht="31" customHeight="1" spans="1:11">
      <c r="A301" s="19">
        <v>297</v>
      </c>
      <c r="B301" s="26" t="s">
        <v>184</v>
      </c>
      <c r="C301" s="26" t="s">
        <v>293</v>
      </c>
      <c r="D301" s="26" t="s">
        <v>353</v>
      </c>
      <c r="E301" s="27" t="s">
        <v>17</v>
      </c>
      <c r="F301" s="26" t="s">
        <v>18</v>
      </c>
      <c r="G301" s="26" t="s">
        <v>29</v>
      </c>
      <c r="H301" s="28">
        <v>45352</v>
      </c>
      <c r="I301" s="19">
        <f>IF(F301="是",VLOOKUP(G301,[32]Sheet2!A:C,3,FALSE),VLOOKUP(G301,[32]Sheet2!A:B,2,FALSE))</f>
        <v>800</v>
      </c>
      <c r="J301" s="24" t="s">
        <v>20</v>
      </c>
      <c r="K301" s="25"/>
    </row>
    <row r="302" s="6" customFormat="1" ht="31" customHeight="1" spans="1:11">
      <c r="A302" s="19">
        <v>298</v>
      </c>
      <c r="B302" s="26" t="s">
        <v>184</v>
      </c>
      <c r="C302" s="26" t="s">
        <v>293</v>
      </c>
      <c r="D302" s="26" t="s">
        <v>354</v>
      </c>
      <c r="E302" s="27" t="s">
        <v>17</v>
      </c>
      <c r="F302" s="26" t="s">
        <v>18</v>
      </c>
      <c r="G302" s="26" t="s">
        <v>19</v>
      </c>
      <c r="H302" s="28">
        <v>45347</v>
      </c>
      <c r="I302" s="19">
        <f>IF(F302="是",VLOOKUP(G302,[32]Sheet2!A:C,3,FALSE),VLOOKUP(G302,[32]Sheet2!A:B,2,FALSE))</f>
        <v>600</v>
      </c>
      <c r="J302" s="24" t="s">
        <v>20</v>
      </c>
      <c r="K302" s="25"/>
    </row>
    <row r="303" s="6" customFormat="1" ht="31" customHeight="1" spans="1:11">
      <c r="A303" s="19">
        <v>299</v>
      </c>
      <c r="B303" s="26" t="s">
        <v>184</v>
      </c>
      <c r="C303" s="26" t="s">
        <v>293</v>
      </c>
      <c r="D303" s="26" t="s">
        <v>355</v>
      </c>
      <c r="E303" s="27" t="s">
        <v>17</v>
      </c>
      <c r="F303" s="26" t="s">
        <v>18</v>
      </c>
      <c r="G303" s="26" t="s">
        <v>19</v>
      </c>
      <c r="H303" s="28">
        <v>45474</v>
      </c>
      <c r="I303" s="19">
        <f>IF(F303="是",VLOOKUP(G303,[32]Sheet2!A:C,3,FALSE),VLOOKUP(G303,[32]Sheet2!A:B,2,FALSE))</f>
        <v>600</v>
      </c>
      <c r="J303" s="24" t="s">
        <v>20</v>
      </c>
      <c r="K303" s="25"/>
    </row>
    <row r="304" s="6" customFormat="1" ht="31" customHeight="1" spans="1:11">
      <c r="A304" s="19">
        <v>300</v>
      </c>
      <c r="B304" s="26" t="s">
        <v>184</v>
      </c>
      <c r="C304" s="26" t="s">
        <v>293</v>
      </c>
      <c r="D304" s="26" t="s">
        <v>356</v>
      </c>
      <c r="E304" s="27" t="s">
        <v>17</v>
      </c>
      <c r="F304" s="26" t="s">
        <v>18</v>
      </c>
      <c r="G304" s="26" t="s">
        <v>19</v>
      </c>
      <c r="H304" s="28">
        <v>45292</v>
      </c>
      <c r="I304" s="19">
        <f>IF(F304="是",VLOOKUP(G304,[32]Sheet2!A:C,3,FALSE),VLOOKUP(G304,[32]Sheet2!A:B,2,FALSE))</f>
        <v>600</v>
      </c>
      <c r="J304" s="24" t="s">
        <v>20</v>
      </c>
      <c r="K304" s="25"/>
    </row>
    <row r="305" s="6" customFormat="1" ht="31" customHeight="1" spans="1:11">
      <c r="A305" s="19">
        <v>301</v>
      </c>
      <c r="B305" s="26" t="s">
        <v>184</v>
      </c>
      <c r="C305" s="26" t="s">
        <v>293</v>
      </c>
      <c r="D305" s="26" t="s">
        <v>357</v>
      </c>
      <c r="E305" s="27" t="s">
        <v>17</v>
      </c>
      <c r="F305" s="26" t="s">
        <v>18</v>
      </c>
      <c r="G305" s="26" t="s">
        <v>19</v>
      </c>
      <c r="H305" s="28">
        <v>45337</v>
      </c>
      <c r="I305" s="19">
        <f>IF(F305="是",VLOOKUP(G305,[32]Sheet2!A:C,3,FALSE),VLOOKUP(G305,[32]Sheet2!A:B,2,FALSE))</f>
        <v>600</v>
      </c>
      <c r="J305" s="24" t="s">
        <v>20</v>
      </c>
      <c r="K305" s="25"/>
    </row>
    <row r="306" s="6" customFormat="1" ht="31" customHeight="1" spans="1:11">
      <c r="A306" s="19">
        <v>302</v>
      </c>
      <c r="B306" s="26" t="s">
        <v>184</v>
      </c>
      <c r="C306" s="26" t="s">
        <v>293</v>
      </c>
      <c r="D306" s="26" t="s">
        <v>358</v>
      </c>
      <c r="E306" s="27" t="s">
        <v>17</v>
      </c>
      <c r="F306" s="26" t="s">
        <v>18</v>
      </c>
      <c r="G306" s="26" t="s">
        <v>19</v>
      </c>
      <c r="H306" s="28">
        <v>45337</v>
      </c>
      <c r="I306" s="19">
        <f>IF(F306="是",VLOOKUP(G306,[32]Sheet2!A:C,3,FALSE),VLOOKUP(G306,[32]Sheet2!A:B,2,FALSE))</f>
        <v>600</v>
      </c>
      <c r="J306" s="24" t="s">
        <v>20</v>
      </c>
      <c r="K306" s="25"/>
    </row>
    <row r="307" s="6" customFormat="1" ht="31" customHeight="1" spans="1:11">
      <c r="A307" s="19">
        <v>303</v>
      </c>
      <c r="B307" s="26" t="s">
        <v>184</v>
      </c>
      <c r="C307" s="26" t="s">
        <v>293</v>
      </c>
      <c r="D307" s="26" t="s">
        <v>359</v>
      </c>
      <c r="E307" s="27" t="s">
        <v>17</v>
      </c>
      <c r="F307" s="26" t="s">
        <v>18</v>
      </c>
      <c r="G307" s="26" t="s">
        <v>19</v>
      </c>
      <c r="H307" s="28">
        <v>45337</v>
      </c>
      <c r="I307" s="19">
        <f>IF(F307="是",VLOOKUP(G307,[32]Sheet2!A:C,3,FALSE),VLOOKUP(G307,[32]Sheet2!A:B,2,FALSE))</f>
        <v>600</v>
      </c>
      <c r="J307" s="24" t="s">
        <v>20</v>
      </c>
      <c r="K307" s="25"/>
    </row>
    <row r="308" s="6" customFormat="1" ht="31" customHeight="1" spans="1:11">
      <c r="A308" s="19">
        <v>304</v>
      </c>
      <c r="B308" s="26" t="s">
        <v>184</v>
      </c>
      <c r="C308" s="26" t="s">
        <v>293</v>
      </c>
      <c r="D308" s="26" t="s">
        <v>360</v>
      </c>
      <c r="E308" s="27" t="s">
        <v>17</v>
      </c>
      <c r="F308" s="26" t="s">
        <v>18</v>
      </c>
      <c r="G308" s="26" t="s">
        <v>19</v>
      </c>
      <c r="H308" s="28">
        <v>45337</v>
      </c>
      <c r="I308" s="19">
        <f>IF(F308="是",VLOOKUP(G308,[32]Sheet2!A:C,3,FALSE),VLOOKUP(G308,[32]Sheet2!A:B,2,FALSE))</f>
        <v>600</v>
      </c>
      <c r="J308" s="24" t="s">
        <v>20</v>
      </c>
      <c r="K308" s="25"/>
    </row>
    <row r="309" s="6" customFormat="1" ht="31" customHeight="1" spans="1:11">
      <c r="A309" s="19">
        <v>305</v>
      </c>
      <c r="B309" s="26" t="s">
        <v>184</v>
      </c>
      <c r="C309" s="26" t="s">
        <v>293</v>
      </c>
      <c r="D309" s="26" t="s">
        <v>361</v>
      </c>
      <c r="E309" s="27" t="s">
        <v>17</v>
      </c>
      <c r="F309" s="26" t="s">
        <v>18</v>
      </c>
      <c r="G309" s="26" t="s">
        <v>19</v>
      </c>
      <c r="H309" s="28">
        <v>45337</v>
      </c>
      <c r="I309" s="19">
        <f>IF(F309="是",VLOOKUP(G309,[32]Sheet2!A:C,3,FALSE),VLOOKUP(G309,[32]Sheet2!A:B,2,FALSE))</f>
        <v>600</v>
      </c>
      <c r="J309" s="24" t="s">
        <v>20</v>
      </c>
      <c r="K309" s="25"/>
    </row>
    <row r="310" s="6" customFormat="1" ht="31" customHeight="1" spans="1:11">
      <c r="A310" s="19">
        <v>306</v>
      </c>
      <c r="B310" s="26" t="s">
        <v>184</v>
      </c>
      <c r="C310" s="26" t="s">
        <v>293</v>
      </c>
      <c r="D310" s="26" t="s">
        <v>272</v>
      </c>
      <c r="E310" s="27" t="s">
        <v>17</v>
      </c>
      <c r="F310" s="26" t="s">
        <v>18</v>
      </c>
      <c r="G310" s="26" t="s">
        <v>19</v>
      </c>
      <c r="H310" s="28">
        <v>45337</v>
      </c>
      <c r="I310" s="19">
        <f>IF(F310="是",VLOOKUP(G310,[32]Sheet2!A:C,3,FALSE),VLOOKUP(G310,[32]Sheet2!A:B,2,FALSE))</f>
        <v>600</v>
      </c>
      <c r="J310" s="24" t="s">
        <v>20</v>
      </c>
      <c r="K310" s="25"/>
    </row>
    <row r="311" s="6" customFormat="1" ht="31" customHeight="1" spans="1:11">
      <c r="A311" s="19">
        <v>307</v>
      </c>
      <c r="B311" s="26" t="s">
        <v>184</v>
      </c>
      <c r="C311" s="26" t="s">
        <v>293</v>
      </c>
      <c r="D311" s="26" t="s">
        <v>362</v>
      </c>
      <c r="E311" s="27" t="s">
        <v>17</v>
      </c>
      <c r="F311" s="26" t="s">
        <v>18</v>
      </c>
      <c r="G311" s="26" t="s">
        <v>19</v>
      </c>
      <c r="H311" s="28">
        <v>45337</v>
      </c>
      <c r="I311" s="19">
        <f>IF(F311="是",VLOOKUP(G311,[32]Sheet2!A:C,3,FALSE),VLOOKUP(G311,[32]Sheet2!A:B,2,FALSE))</f>
        <v>600</v>
      </c>
      <c r="J311" s="24" t="s">
        <v>20</v>
      </c>
      <c r="K311" s="25"/>
    </row>
    <row r="312" s="6" customFormat="1" ht="31" customHeight="1" spans="1:11">
      <c r="A312" s="19">
        <v>308</v>
      </c>
      <c r="B312" s="26" t="s">
        <v>184</v>
      </c>
      <c r="C312" s="26" t="s">
        <v>293</v>
      </c>
      <c r="D312" s="26" t="s">
        <v>363</v>
      </c>
      <c r="E312" s="27" t="s">
        <v>17</v>
      </c>
      <c r="F312" s="26" t="s">
        <v>18</v>
      </c>
      <c r="G312" s="26" t="s">
        <v>98</v>
      </c>
      <c r="H312" s="28">
        <v>45337</v>
      </c>
      <c r="I312" s="19">
        <f>IF(F312="是",VLOOKUP(G312,[32]Sheet2!A:C,3,FALSE),VLOOKUP(G312,[32]Sheet2!A:B,2,FALSE))</f>
        <v>800</v>
      </c>
      <c r="J312" s="24" t="s">
        <v>20</v>
      </c>
      <c r="K312" s="25"/>
    </row>
    <row r="313" s="6" customFormat="1" ht="31" customHeight="1" spans="1:11">
      <c r="A313" s="19">
        <v>309</v>
      </c>
      <c r="B313" s="26" t="s">
        <v>184</v>
      </c>
      <c r="C313" s="26" t="s">
        <v>293</v>
      </c>
      <c r="D313" s="26" t="s">
        <v>364</v>
      </c>
      <c r="E313" s="27" t="s">
        <v>17</v>
      </c>
      <c r="F313" s="26" t="s">
        <v>18</v>
      </c>
      <c r="G313" s="26" t="s">
        <v>98</v>
      </c>
      <c r="H313" s="28">
        <v>45337</v>
      </c>
      <c r="I313" s="19">
        <f>IF(F313="是",VLOOKUP(G313,[32]Sheet2!A:C,3,FALSE),VLOOKUP(G313,[32]Sheet2!A:B,2,FALSE))</f>
        <v>800</v>
      </c>
      <c r="J313" s="24" t="s">
        <v>20</v>
      </c>
      <c r="K313" s="25"/>
    </row>
    <row r="314" s="6" customFormat="1" ht="31" customHeight="1" spans="1:11">
      <c r="A314" s="19">
        <v>310</v>
      </c>
      <c r="B314" s="26" t="s">
        <v>184</v>
      </c>
      <c r="C314" s="26" t="s">
        <v>293</v>
      </c>
      <c r="D314" s="26" t="s">
        <v>365</v>
      </c>
      <c r="E314" s="27" t="s">
        <v>17</v>
      </c>
      <c r="F314" s="26" t="s">
        <v>18</v>
      </c>
      <c r="G314" s="26" t="s">
        <v>29</v>
      </c>
      <c r="H314" s="28">
        <v>45352</v>
      </c>
      <c r="I314" s="19">
        <f>IF(F314="是",VLOOKUP(G314,[32]Sheet2!A:C,3,FALSE),VLOOKUP(G314,[32]Sheet2!A:B,2,FALSE))</f>
        <v>800</v>
      </c>
      <c r="J314" s="24" t="s">
        <v>20</v>
      </c>
      <c r="K314" s="25"/>
    </row>
    <row r="315" s="6" customFormat="1" ht="31" customHeight="1" spans="1:11">
      <c r="A315" s="19">
        <v>311</v>
      </c>
      <c r="B315" s="26" t="s">
        <v>184</v>
      </c>
      <c r="C315" s="26" t="s">
        <v>293</v>
      </c>
      <c r="D315" s="26" t="s">
        <v>366</v>
      </c>
      <c r="E315" s="27" t="s">
        <v>17</v>
      </c>
      <c r="F315" s="26" t="s">
        <v>18</v>
      </c>
      <c r="G315" s="26" t="s">
        <v>19</v>
      </c>
      <c r="H315" s="28">
        <v>45306</v>
      </c>
      <c r="I315" s="19">
        <f>IF(F315="是",VLOOKUP(G315,[32]Sheet2!A:C,3,FALSE),VLOOKUP(G315,[32]Sheet2!A:B,2,FALSE))</f>
        <v>600</v>
      </c>
      <c r="J315" s="24" t="s">
        <v>20</v>
      </c>
      <c r="K315" s="25"/>
    </row>
    <row r="316" s="6" customFormat="1" ht="31" customHeight="1" spans="1:11">
      <c r="A316" s="19">
        <v>312</v>
      </c>
      <c r="B316" s="26" t="s">
        <v>184</v>
      </c>
      <c r="C316" s="26" t="s">
        <v>293</v>
      </c>
      <c r="D316" s="26" t="s">
        <v>367</v>
      </c>
      <c r="E316" s="27" t="s">
        <v>17</v>
      </c>
      <c r="F316" s="26" t="s">
        <v>18</v>
      </c>
      <c r="G316" s="26" t="s">
        <v>19</v>
      </c>
      <c r="H316" s="28">
        <v>45444</v>
      </c>
      <c r="I316" s="19">
        <f>IF(F316="是",VLOOKUP(G316,[32]Sheet2!A:C,3,FALSE),VLOOKUP(G316,[32]Sheet2!A:B,2,FALSE))</f>
        <v>600</v>
      </c>
      <c r="J316" s="24" t="s">
        <v>20</v>
      </c>
      <c r="K316" s="25"/>
    </row>
    <row r="317" s="6" customFormat="1" ht="31" customHeight="1" spans="1:11">
      <c r="A317" s="19">
        <v>313</v>
      </c>
      <c r="B317" s="26" t="s">
        <v>184</v>
      </c>
      <c r="C317" s="26" t="s">
        <v>293</v>
      </c>
      <c r="D317" s="26" t="s">
        <v>368</v>
      </c>
      <c r="E317" s="27" t="s">
        <v>17</v>
      </c>
      <c r="F317" s="26" t="s">
        <v>18</v>
      </c>
      <c r="G317" s="26" t="s">
        <v>19</v>
      </c>
      <c r="H317" s="28">
        <v>45337</v>
      </c>
      <c r="I317" s="19">
        <f>IF(F317="是",VLOOKUP(G317,[32]Sheet2!A:C,3,FALSE),VLOOKUP(G317,[32]Sheet2!A:B,2,FALSE))</f>
        <v>600</v>
      </c>
      <c r="J317" s="24" t="s">
        <v>20</v>
      </c>
      <c r="K317" s="25"/>
    </row>
    <row r="318" s="6" customFormat="1" ht="31" customHeight="1" spans="1:11">
      <c r="A318" s="19">
        <v>314</v>
      </c>
      <c r="B318" s="26" t="s">
        <v>184</v>
      </c>
      <c r="C318" s="26" t="s">
        <v>293</v>
      </c>
      <c r="D318" s="26" t="s">
        <v>369</v>
      </c>
      <c r="E318" s="27" t="s">
        <v>17</v>
      </c>
      <c r="F318" s="26" t="s">
        <v>18</v>
      </c>
      <c r="G318" s="26" t="s">
        <v>19</v>
      </c>
      <c r="H318" s="28">
        <v>45337</v>
      </c>
      <c r="I318" s="19">
        <f>IF(F318="是",VLOOKUP(G318,[32]Sheet2!A:C,3,FALSE),VLOOKUP(G318,[32]Sheet2!A:B,2,FALSE))</f>
        <v>600</v>
      </c>
      <c r="J318" s="24" t="s">
        <v>20</v>
      </c>
      <c r="K318" s="25"/>
    </row>
    <row r="319" s="6" customFormat="1" ht="31" customHeight="1" spans="1:11">
      <c r="A319" s="19">
        <v>315</v>
      </c>
      <c r="B319" s="26" t="s">
        <v>184</v>
      </c>
      <c r="C319" s="26" t="s">
        <v>293</v>
      </c>
      <c r="D319" s="26" t="s">
        <v>370</v>
      </c>
      <c r="E319" s="27" t="s">
        <v>17</v>
      </c>
      <c r="F319" s="26" t="s">
        <v>18</v>
      </c>
      <c r="G319" s="26" t="s">
        <v>19</v>
      </c>
      <c r="H319" s="28">
        <v>45337</v>
      </c>
      <c r="I319" s="19">
        <f>IF(F319="是",VLOOKUP(G319,[32]Sheet2!A:C,3,FALSE),VLOOKUP(G319,[32]Sheet2!A:B,2,FALSE))</f>
        <v>600</v>
      </c>
      <c r="J319" s="24" t="s">
        <v>20</v>
      </c>
      <c r="K319" s="25"/>
    </row>
    <row r="320" s="6" customFormat="1" ht="31" customHeight="1" spans="1:11">
      <c r="A320" s="19">
        <v>316</v>
      </c>
      <c r="B320" s="26" t="s">
        <v>184</v>
      </c>
      <c r="C320" s="26" t="s">
        <v>371</v>
      </c>
      <c r="D320" s="26" t="s">
        <v>372</v>
      </c>
      <c r="E320" s="27" t="s">
        <v>17</v>
      </c>
      <c r="F320" s="26" t="s">
        <v>18</v>
      </c>
      <c r="G320" s="26" t="s">
        <v>19</v>
      </c>
      <c r="H320" s="30">
        <v>45323</v>
      </c>
      <c r="I320" s="19">
        <f>IF(F320="是",VLOOKUP(G320,[32]Sheet2!A:C,3,FALSE),VLOOKUP(G320,[32]Sheet2!A:B,2,FALSE))</f>
        <v>600</v>
      </c>
      <c r="J320" s="24" t="s">
        <v>20</v>
      </c>
      <c r="K320" s="25"/>
    </row>
    <row r="321" s="6" customFormat="1" ht="31" customHeight="1" spans="1:11">
      <c r="A321" s="19">
        <v>317</v>
      </c>
      <c r="B321" s="26" t="s">
        <v>184</v>
      </c>
      <c r="C321" s="26" t="s">
        <v>371</v>
      </c>
      <c r="D321" s="26" t="s">
        <v>373</v>
      </c>
      <c r="E321" s="27" t="s">
        <v>17</v>
      </c>
      <c r="F321" s="26" t="s">
        <v>18</v>
      </c>
      <c r="G321" s="26" t="s">
        <v>19</v>
      </c>
      <c r="H321" s="30">
        <v>45323</v>
      </c>
      <c r="I321" s="19">
        <f>IF(F321="是",VLOOKUP(G321,[32]Sheet2!A:C,3,FALSE),VLOOKUP(G321,[32]Sheet2!A:B,2,FALSE))</f>
        <v>600</v>
      </c>
      <c r="J321" s="24" t="s">
        <v>20</v>
      </c>
      <c r="K321" s="25"/>
    </row>
    <row r="322" s="6" customFormat="1" ht="31" customHeight="1" spans="1:11">
      <c r="A322" s="19">
        <v>318</v>
      </c>
      <c r="B322" s="26" t="s">
        <v>184</v>
      </c>
      <c r="C322" s="26" t="s">
        <v>371</v>
      </c>
      <c r="D322" s="26" t="s">
        <v>374</v>
      </c>
      <c r="E322" s="27" t="s">
        <v>17</v>
      </c>
      <c r="F322" s="26" t="s">
        <v>18</v>
      </c>
      <c r="G322" s="26" t="s">
        <v>19</v>
      </c>
      <c r="H322" s="30">
        <v>45369</v>
      </c>
      <c r="I322" s="19">
        <f>IF(F322="是",VLOOKUP(G322,[32]Sheet2!A:C,3,FALSE),VLOOKUP(G322,[32]Sheet2!A:B,2,FALSE))</f>
        <v>600</v>
      </c>
      <c r="J322" s="24" t="s">
        <v>20</v>
      </c>
      <c r="K322" s="25"/>
    </row>
    <row r="323" s="6" customFormat="1" ht="31" customHeight="1" spans="1:11">
      <c r="A323" s="19">
        <v>319</v>
      </c>
      <c r="B323" s="26" t="s">
        <v>184</v>
      </c>
      <c r="C323" s="26" t="s">
        <v>371</v>
      </c>
      <c r="D323" s="26" t="s">
        <v>375</v>
      </c>
      <c r="E323" s="27" t="s">
        <v>17</v>
      </c>
      <c r="F323" s="26" t="s">
        <v>18</v>
      </c>
      <c r="G323" s="26" t="s">
        <v>19</v>
      </c>
      <c r="H323" s="30">
        <v>45323</v>
      </c>
      <c r="I323" s="19">
        <f>IF(F323="是",VLOOKUP(G323,[32]Sheet2!A:C,3,FALSE),VLOOKUP(G323,[32]Sheet2!A:B,2,FALSE))</f>
        <v>600</v>
      </c>
      <c r="J323" s="24" t="s">
        <v>20</v>
      </c>
      <c r="K323" s="25"/>
    </row>
    <row r="324" s="6" customFormat="1" ht="31" customHeight="1" spans="1:11">
      <c r="A324" s="19">
        <v>320</v>
      </c>
      <c r="B324" s="26" t="s">
        <v>184</v>
      </c>
      <c r="C324" s="26" t="s">
        <v>371</v>
      </c>
      <c r="D324" s="26" t="s">
        <v>376</v>
      </c>
      <c r="E324" s="27" t="s">
        <v>17</v>
      </c>
      <c r="F324" s="26" t="s">
        <v>18</v>
      </c>
      <c r="G324" s="26" t="s">
        <v>19</v>
      </c>
      <c r="H324" s="30">
        <v>45337</v>
      </c>
      <c r="I324" s="19">
        <f>IF(F324="是",VLOOKUP(G324,[32]Sheet2!A:C,3,FALSE),VLOOKUP(G324,[32]Sheet2!A:B,2,FALSE))</f>
        <v>600</v>
      </c>
      <c r="J324" s="24" t="s">
        <v>20</v>
      </c>
      <c r="K324" s="25"/>
    </row>
    <row r="325" s="6" customFormat="1" ht="31" customHeight="1" spans="1:11">
      <c r="A325" s="19">
        <v>321</v>
      </c>
      <c r="B325" s="26" t="s">
        <v>184</v>
      </c>
      <c r="C325" s="26" t="s">
        <v>371</v>
      </c>
      <c r="D325" s="26" t="s">
        <v>377</v>
      </c>
      <c r="E325" s="27" t="s">
        <v>17</v>
      </c>
      <c r="F325" s="26" t="s">
        <v>18</v>
      </c>
      <c r="G325" s="26" t="s">
        <v>19</v>
      </c>
      <c r="H325" s="30">
        <v>45337</v>
      </c>
      <c r="I325" s="19">
        <f>IF(F325="是",VLOOKUP(G325,[32]Sheet2!A:C,3,FALSE),VLOOKUP(G325,[32]Sheet2!A:B,2,FALSE))</f>
        <v>600</v>
      </c>
      <c r="J325" s="24" t="s">
        <v>20</v>
      </c>
      <c r="K325" s="25"/>
    </row>
    <row r="326" s="6" customFormat="1" ht="31" customHeight="1" spans="1:11">
      <c r="A326" s="19">
        <v>322</v>
      </c>
      <c r="B326" s="26" t="s">
        <v>184</v>
      </c>
      <c r="C326" s="26" t="s">
        <v>371</v>
      </c>
      <c r="D326" s="26" t="s">
        <v>378</v>
      </c>
      <c r="E326" s="27" t="s">
        <v>17</v>
      </c>
      <c r="F326" s="26" t="s">
        <v>18</v>
      </c>
      <c r="G326" s="26" t="s">
        <v>19</v>
      </c>
      <c r="H326" s="30">
        <v>45334</v>
      </c>
      <c r="I326" s="19">
        <f>IF(F326="是",VLOOKUP(G326,[32]Sheet2!A:C,3,FALSE),VLOOKUP(G326,[32]Sheet2!A:B,2,FALSE))</f>
        <v>600</v>
      </c>
      <c r="J326" s="24" t="s">
        <v>20</v>
      </c>
      <c r="K326" s="25"/>
    </row>
    <row r="327" s="6" customFormat="1" ht="31" customHeight="1" spans="1:11">
      <c r="A327" s="19">
        <v>323</v>
      </c>
      <c r="B327" s="26" t="s">
        <v>184</v>
      </c>
      <c r="C327" s="26" t="s">
        <v>371</v>
      </c>
      <c r="D327" s="26" t="s">
        <v>379</v>
      </c>
      <c r="E327" s="27" t="s">
        <v>17</v>
      </c>
      <c r="F327" s="26" t="s">
        <v>18</v>
      </c>
      <c r="G327" s="26" t="s">
        <v>19</v>
      </c>
      <c r="H327" s="30">
        <v>45407</v>
      </c>
      <c r="I327" s="19">
        <f>IF(F327="是",VLOOKUP(G327,[32]Sheet2!A:C,3,FALSE),VLOOKUP(G327,[32]Sheet2!A:B,2,FALSE))</f>
        <v>600</v>
      </c>
      <c r="J327" s="24" t="s">
        <v>20</v>
      </c>
      <c r="K327" s="25"/>
    </row>
    <row r="328" s="6" customFormat="1" ht="31" customHeight="1" spans="1:11">
      <c r="A328" s="19">
        <v>324</v>
      </c>
      <c r="B328" s="26" t="s">
        <v>184</v>
      </c>
      <c r="C328" s="26" t="s">
        <v>371</v>
      </c>
      <c r="D328" s="26" t="s">
        <v>380</v>
      </c>
      <c r="E328" s="27" t="s">
        <v>17</v>
      </c>
      <c r="F328" s="26" t="s">
        <v>18</v>
      </c>
      <c r="G328" s="26" t="s">
        <v>19</v>
      </c>
      <c r="H328" s="30">
        <v>45292</v>
      </c>
      <c r="I328" s="19">
        <f>IF(F328="是",VLOOKUP(G328,[32]Sheet2!A:C,3,FALSE),VLOOKUP(G328,[32]Sheet2!A:B,2,FALSE))</f>
        <v>600</v>
      </c>
      <c r="J328" s="24" t="s">
        <v>20</v>
      </c>
      <c r="K328" s="25"/>
    </row>
    <row r="329" s="6" customFormat="1" ht="31" customHeight="1" spans="1:11">
      <c r="A329" s="19">
        <v>325</v>
      </c>
      <c r="B329" s="26" t="s">
        <v>184</v>
      </c>
      <c r="C329" s="26" t="s">
        <v>371</v>
      </c>
      <c r="D329" s="26" t="s">
        <v>381</v>
      </c>
      <c r="E329" s="27" t="s">
        <v>17</v>
      </c>
      <c r="F329" s="26" t="s">
        <v>18</v>
      </c>
      <c r="G329" s="26" t="s">
        <v>19</v>
      </c>
      <c r="H329" s="30">
        <v>45427</v>
      </c>
      <c r="I329" s="19">
        <f>IF(F329="是",VLOOKUP(G329,[32]Sheet2!A:C,3,FALSE),VLOOKUP(G329,[32]Sheet2!A:B,2,FALSE))</f>
        <v>600</v>
      </c>
      <c r="J329" s="24" t="s">
        <v>20</v>
      </c>
      <c r="K329" s="25"/>
    </row>
    <row r="330" s="6" customFormat="1" ht="31" customHeight="1" spans="1:11">
      <c r="A330" s="19">
        <v>326</v>
      </c>
      <c r="B330" s="26" t="s">
        <v>184</v>
      </c>
      <c r="C330" s="26" t="s">
        <v>371</v>
      </c>
      <c r="D330" s="26" t="s">
        <v>382</v>
      </c>
      <c r="E330" s="27" t="s">
        <v>17</v>
      </c>
      <c r="F330" s="26" t="s">
        <v>18</v>
      </c>
      <c r="G330" s="26" t="s">
        <v>19</v>
      </c>
      <c r="H330" s="30">
        <v>45341</v>
      </c>
      <c r="I330" s="19">
        <f>IF(F330="是",VLOOKUP(G330,[32]Sheet2!A:C,3,FALSE),VLOOKUP(G330,[32]Sheet2!A:B,2,FALSE))</f>
        <v>600</v>
      </c>
      <c r="J330" s="24" t="s">
        <v>20</v>
      </c>
      <c r="K330" s="25"/>
    </row>
    <row r="331" s="6" customFormat="1" ht="31" customHeight="1" spans="1:11">
      <c r="A331" s="19">
        <v>327</v>
      </c>
      <c r="B331" s="26" t="s">
        <v>184</v>
      </c>
      <c r="C331" s="26" t="s">
        <v>371</v>
      </c>
      <c r="D331" s="26" t="s">
        <v>383</v>
      </c>
      <c r="E331" s="27" t="s">
        <v>17</v>
      </c>
      <c r="F331" s="26" t="s">
        <v>18</v>
      </c>
      <c r="G331" s="26" t="s">
        <v>19</v>
      </c>
      <c r="H331" s="30">
        <v>45323</v>
      </c>
      <c r="I331" s="19">
        <f>IF(F331="是",VLOOKUP(G331,[32]Sheet2!A:C,3,FALSE),VLOOKUP(G331,[32]Sheet2!A:B,2,FALSE))</f>
        <v>600</v>
      </c>
      <c r="J331" s="24" t="s">
        <v>20</v>
      </c>
      <c r="K331" s="25"/>
    </row>
    <row r="332" s="6" customFormat="1" ht="31" customHeight="1" spans="1:11">
      <c r="A332" s="19">
        <v>328</v>
      </c>
      <c r="B332" s="26" t="s">
        <v>184</v>
      </c>
      <c r="C332" s="26" t="s">
        <v>371</v>
      </c>
      <c r="D332" s="26" t="s">
        <v>384</v>
      </c>
      <c r="E332" s="27" t="s">
        <v>17</v>
      </c>
      <c r="F332" s="26" t="s">
        <v>18</v>
      </c>
      <c r="G332" s="26" t="s">
        <v>19</v>
      </c>
      <c r="H332" s="30">
        <v>45324</v>
      </c>
      <c r="I332" s="19">
        <f>IF(F332="是",VLOOKUP(G332,[32]Sheet2!A:C,3,FALSE),VLOOKUP(G332,[32]Sheet2!A:B,2,FALSE))</f>
        <v>600</v>
      </c>
      <c r="J332" s="24" t="s">
        <v>20</v>
      </c>
      <c r="K332" s="25"/>
    </row>
    <row r="333" s="6" customFormat="1" ht="31" customHeight="1" spans="1:11">
      <c r="A333" s="19">
        <v>329</v>
      </c>
      <c r="B333" s="32" t="s">
        <v>184</v>
      </c>
      <c r="C333" s="32" t="s">
        <v>385</v>
      </c>
      <c r="D333" s="32" t="s">
        <v>386</v>
      </c>
      <c r="E333" s="27" t="s">
        <v>17</v>
      </c>
      <c r="F333" s="32" t="s">
        <v>18</v>
      </c>
      <c r="G333" s="32" t="s">
        <v>19</v>
      </c>
      <c r="H333" s="33">
        <v>45323</v>
      </c>
      <c r="I333" s="19">
        <f>IF(F333="是",VLOOKUP(G333,[32]Sheet2!A:C,3,FALSE),VLOOKUP(G333,[32]Sheet2!A:B,2,FALSE))</f>
        <v>600</v>
      </c>
      <c r="J333" s="24" t="s">
        <v>20</v>
      </c>
      <c r="K333" s="25"/>
    </row>
    <row r="334" s="6" customFormat="1" ht="31" customHeight="1" spans="1:11">
      <c r="A334" s="19">
        <v>330</v>
      </c>
      <c r="B334" s="32" t="s">
        <v>184</v>
      </c>
      <c r="C334" s="32" t="s">
        <v>385</v>
      </c>
      <c r="D334" s="32" t="s">
        <v>387</v>
      </c>
      <c r="E334" s="27" t="s">
        <v>17</v>
      </c>
      <c r="F334" s="32" t="s">
        <v>18</v>
      </c>
      <c r="G334" s="32" t="s">
        <v>19</v>
      </c>
      <c r="H334" s="33">
        <v>45383</v>
      </c>
      <c r="I334" s="19">
        <f>IF(F334="是",VLOOKUP(G334,[32]Sheet2!A:C,3,FALSE),VLOOKUP(G334,[32]Sheet2!A:B,2,FALSE))</f>
        <v>600</v>
      </c>
      <c r="J334" s="24" t="s">
        <v>20</v>
      </c>
      <c r="K334" s="25"/>
    </row>
    <row r="335" s="6" customFormat="1" ht="31" customHeight="1" spans="1:11">
      <c r="A335" s="19">
        <v>331</v>
      </c>
      <c r="B335" s="32" t="s">
        <v>184</v>
      </c>
      <c r="C335" s="32" t="s">
        <v>385</v>
      </c>
      <c r="D335" s="32" t="s">
        <v>388</v>
      </c>
      <c r="E335" s="27" t="s">
        <v>17</v>
      </c>
      <c r="F335" s="32" t="s">
        <v>18</v>
      </c>
      <c r="G335" s="32" t="s">
        <v>19</v>
      </c>
      <c r="H335" s="33">
        <v>45364</v>
      </c>
      <c r="I335" s="19">
        <f>IF(F335="是",VLOOKUP(G335,[32]Sheet2!A:C,3,FALSE),VLOOKUP(G335,[32]Sheet2!A:B,2,FALSE))</f>
        <v>600</v>
      </c>
      <c r="J335" s="24" t="s">
        <v>20</v>
      </c>
      <c r="K335" s="25"/>
    </row>
    <row r="336" s="6" customFormat="1" ht="31" customHeight="1" spans="1:11">
      <c r="A336" s="19">
        <v>332</v>
      </c>
      <c r="B336" s="32" t="s">
        <v>184</v>
      </c>
      <c r="C336" s="32" t="s">
        <v>385</v>
      </c>
      <c r="D336" s="32" t="s">
        <v>389</v>
      </c>
      <c r="E336" s="27" t="s">
        <v>17</v>
      </c>
      <c r="F336" s="32" t="s">
        <v>18</v>
      </c>
      <c r="G336" s="32" t="s">
        <v>19</v>
      </c>
      <c r="H336" s="33">
        <v>45323</v>
      </c>
      <c r="I336" s="19">
        <f>IF(F336="是",VLOOKUP(G336,[32]Sheet2!A:C,3,FALSE),VLOOKUP(G336,[32]Sheet2!A:B,2,FALSE))</f>
        <v>600</v>
      </c>
      <c r="J336" s="24" t="s">
        <v>20</v>
      </c>
      <c r="K336" s="25"/>
    </row>
    <row r="337" s="6" customFormat="1" ht="31" customHeight="1" spans="1:11">
      <c r="A337" s="19">
        <v>333</v>
      </c>
      <c r="B337" s="32" t="s">
        <v>184</v>
      </c>
      <c r="C337" s="32" t="s">
        <v>385</v>
      </c>
      <c r="D337" s="32" t="s">
        <v>390</v>
      </c>
      <c r="E337" s="27" t="s">
        <v>17</v>
      </c>
      <c r="F337" s="32" t="s">
        <v>18</v>
      </c>
      <c r="G337" s="32" t="s">
        <v>19</v>
      </c>
      <c r="H337" s="33">
        <v>45323</v>
      </c>
      <c r="I337" s="19">
        <f>IF(F337="是",VLOOKUP(G337,[32]Sheet2!A:C,3,FALSE),VLOOKUP(G337,[32]Sheet2!A:B,2,FALSE))</f>
        <v>600</v>
      </c>
      <c r="J337" s="24" t="s">
        <v>20</v>
      </c>
      <c r="K337" s="25"/>
    </row>
    <row r="338" s="6" customFormat="1" ht="31" customHeight="1" spans="1:11">
      <c r="A338" s="19">
        <v>334</v>
      </c>
      <c r="B338" s="32" t="s">
        <v>184</v>
      </c>
      <c r="C338" s="32" t="s">
        <v>385</v>
      </c>
      <c r="D338" s="32" t="s">
        <v>391</v>
      </c>
      <c r="E338" s="27" t="s">
        <v>17</v>
      </c>
      <c r="F338" s="32" t="s">
        <v>18</v>
      </c>
      <c r="G338" s="32" t="s">
        <v>19</v>
      </c>
      <c r="H338" s="33">
        <v>45323</v>
      </c>
      <c r="I338" s="19">
        <f>IF(F338="是",VLOOKUP(G338,[32]Sheet2!A:C,3,FALSE),VLOOKUP(G338,[32]Sheet2!A:B,2,FALSE))</f>
        <v>600</v>
      </c>
      <c r="J338" s="24" t="s">
        <v>20</v>
      </c>
      <c r="K338" s="25"/>
    </row>
    <row r="339" s="6" customFormat="1" ht="31" customHeight="1" spans="1:11">
      <c r="A339" s="19">
        <v>335</v>
      </c>
      <c r="B339" s="32" t="s">
        <v>184</v>
      </c>
      <c r="C339" s="32" t="s">
        <v>385</v>
      </c>
      <c r="D339" s="32" t="s">
        <v>392</v>
      </c>
      <c r="E339" s="27" t="s">
        <v>17</v>
      </c>
      <c r="F339" s="32" t="s">
        <v>18</v>
      </c>
      <c r="G339" s="32" t="s">
        <v>19</v>
      </c>
      <c r="H339" s="33">
        <v>45323</v>
      </c>
      <c r="I339" s="19">
        <f>IF(F339="是",VLOOKUP(G339,[32]Sheet2!A:C,3,FALSE),VLOOKUP(G339,[32]Sheet2!A:B,2,FALSE))</f>
        <v>600</v>
      </c>
      <c r="J339" s="24" t="s">
        <v>20</v>
      </c>
      <c r="K339" s="25"/>
    </row>
    <row r="340" s="6" customFormat="1" ht="31" customHeight="1" spans="1:11">
      <c r="A340" s="19">
        <v>336</v>
      </c>
      <c r="B340" s="32" t="s">
        <v>184</v>
      </c>
      <c r="C340" s="32" t="s">
        <v>385</v>
      </c>
      <c r="D340" s="32" t="s">
        <v>393</v>
      </c>
      <c r="E340" s="27" t="s">
        <v>17</v>
      </c>
      <c r="F340" s="32" t="s">
        <v>18</v>
      </c>
      <c r="G340" s="32" t="s">
        <v>19</v>
      </c>
      <c r="H340" s="33">
        <v>45323</v>
      </c>
      <c r="I340" s="19">
        <f>IF(F340="是",VLOOKUP(G340,[32]Sheet2!A:C,3,FALSE),VLOOKUP(G340,[32]Sheet2!A:B,2,FALSE))</f>
        <v>600</v>
      </c>
      <c r="J340" s="24" t="s">
        <v>20</v>
      </c>
      <c r="K340" s="25"/>
    </row>
    <row r="341" s="6" customFormat="1" ht="31" customHeight="1" spans="1:11">
      <c r="A341" s="19">
        <v>337</v>
      </c>
      <c r="B341" s="32" t="s">
        <v>184</v>
      </c>
      <c r="C341" s="32" t="s">
        <v>385</v>
      </c>
      <c r="D341" s="32" t="s">
        <v>394</v>
      </c>
      <c r="E341" s="27" t="s">
        <v>17</v>
      </c>
      <c r="F341" s="32" t="s">
        <v>18</v>
      </c>
      <c r="G341" s="32" t="s">
        <v>19</v>
      </c>
      <c r="H341" s="33">
        <v>45347</v>
      </c>
      <c r="I341" s="19">
        <f>IF(F341="是",VLOOKUP(G341,[32]Sheet2!A:C,3,FALSE),VLOOKUP(G341,[32]Sheet2!A:B,2,FALSE))</f>
        <v>600</v>
      </c>
      <c r="J341" s="24" t="s">
        <v>20</v>
      </c>
      <c r="K341" s="25"/>
    </row>
    <row r="342" s="6" customFormat="1" ht="31" customHeight="1" spans="1:11">
      <c r="A342" s="19">
        <v>338</v>
      </c>
      <c r="B342" s="32" t="s">
        <v>184</v>
      </c>
      <c r="C342" s="32" t="s">
        <v>385</v>
      </c>
      <c r="D342" s="32" t="s">
        <v>395</v>
      </c>
      <c r="E342" s="27" t="s">
        <v>17</v>
      </c>
      <c r="F342" s="32" t="s">
        <v>18</v>
      </c>
      <c r="G342" s="32" t="s">
        <v>19</v>
      </c>
      <c r="H342" s="33">
        <v>45351</v>
      </c>
      <c r="I342" s="19">
        <f>IF(F342="是",VLOOKUP(G342,[32]Sheet2!A:C,3,FALSE),VLOOKUP(G342,[32]Sheet2!A:B,2,FALSE))</f>
        <v>600</v>
      </c>
      <c r="J342" s="24" t="s">
        <v>20</v>
      </c>
      <c r="K342" s="25"/>
    </row>
    <row r="343" s="6" customFormat="1" ht="31" customHeight="1" spans="1:11">
      <c r="A343" s="19">
        <v>339</v>
      </c>
      <c r="B343" s="26" t="s">
        <v>184</v>
      </c>
      <c r="C343" s="26" t="s">
        <v>385</v>
      </c>
      <c r="D343" s="26" t="s">
        <v>396</v>
      </c>
      <c r="E343" s="27" t="s">
        <v>17</v>
      </c>
      <c r="F343" s="32" t="s">
        <v>18</v>
      </c>
      <c r="G343" s="26" t="s">
        <v>295</v>
      </c>
      <c r="H343" s="30">
        <v>45292</v>
      </c>
      <c r="I343" s="19">
        <f>IF(F343="是",VLOOKUP(G343,[32]Sheet2!A:C,3,FALSE),VLOOKUP(G343,[32]Sheet2!A:B,2,FALSE))</f>
        <v>600</v>
      </c>
      <c r="J343" s="24" t="s">
        <v>20</v>
      </c>
      <c r="K343" s="25"/>
    </row>
    <row r="344" s="6" customFormat="1" ht="31" customHeight="1" spans="1:11">
      <c r="A344" s="19">
        <v>340</v>
      </c>
      <c r="B344" s="26" t="s">
        <v>184</v>
      </c>
      <c r="C344" s="26" t="s">
        <v>385</v>
      </c>
      <c r="D344" s="26" t="s">
        <v>397</v>
      </c>
      <c r="E344" s="27" t="s">
        <v>17</v>
      </c>
      <c r="F344" s="32" t="s">
        <v>18</v>
      </c>
      <c r="G344" s="26" t="s">
        <v>19</v>
      </c>
      <c r="H344" s="30">
        <v>45292</v>
      </c>
      <c r="I344" s="19">
        <f>IF(F344="是",VLOOKUP(G344,[32]Sheet2!A:C,3,FALSE),VLOOKUP(G344,[32]Sheet2!A:B,2,FALSE))</f>
        <v>600</v>
      </c>
      <c r="J344" s="24" t="s">
        <v>20</v>
      </c>
      <c r="K344" s="25"/>
    </row>
    <row r="345" s="6" customFormat="1" ht="31" customHeight="1" spans="1:11">
      <c r="A345" s="19">
        <v>341</v>
      </c>
      <c r="B345" s="26" t="s">
        <v>184</v>
      </c>
      <c r="C345" s="26" t="s">
        <v>385</v>
      </c>
      <c r="D345" s="26" t="s">
        <v>398</v>
      </c>
      <c r="E345" s="27" t="s">
        <v>17</v>
      </c>
      <c r="F345" s="32" t="s">
        <v>18</v>
      </c>
      <c r="G345" s="26" t="s">
        <v>98</v>
      </c>
      <c r="H345" s="30">
        <v>45292</v>
      </c>
      <c r="I345" s="19">
        <f>IF(F345="是",VLOOKUP(G345,[32]Sheet2!A:C,3,FALSE),VLOOKUP(G345,[32]Sheet2!A:B,2,FALSE))</f>
        <v>800</v>
      </c>
      <c r="J345" s="24" t="s">
        <v>20</v>
      </c>
      <c r="K345" s="25"/>
    </row>
    <row r="346" s="6" customFormat="1" ht="31" customHeight="1" spans="1:11">
      <c r="A346" s="19">
        <v>342</v>
      </c>
      <c r="B346" s="26" t="s">
        <v>184</v>
      </c>
      <c r="C346" s="26" t="s">
        <v>385</v>
      </c>
      <c r="D346" s="26" t="s">
        <v>399</v>
      </c>
      <c r="E346" s="27" t="s">
        <v>17</v>
      </c>
      <c r="F346" s="32" t="s">
        <v>18</v>
      </c>
      <c r="G346" s="26" t="s">
        <v>19</v>
      </c>
      <c r="H346" s="30">
        <v>45292</v>
      </c>
      <c r="I346" s="19">
        <f>IF(F346="是",VLOOKUP(G346,[32]Sheet2!A:C,3,FALSE),VLOOKUP(G346,[32]Sheet2!A:B,2,FALSE))</f>
        <v>600</v>
      </c>
      <c r="J346" s="24" t="s">
        <v>20</v>
      </c>
      <c r="K346" s="25"/>
    </row>
    <row r="347" s="6" customFormat="1" ht="31" customHeight="1" spans="1:11">
      <c r="A347" s="19">
        <v>343</v>
      </c>
      <c r="B347" s="32" t="s">
        <v>184</v>
      </c>
      <c r="C347" s="32" t="s">
        <v>385</v>
      </c>
      <c r="D347" s="32" t="s">
        <v>400</v>
      </c>
      <c r="E347" s="27" t="s">
        <v>17</v>
      </c>
      <c r="F347" s="32" t="s">
        <v>18</v>
      </c>
      <c r="G347" s="32" t="s">
        <v>19</v>
      </c>
      <c r="H347" s="33" t="s">
        <v>401</v>
      </c>
      <c r="I347" s="19">
        <f>IF(F347="是",VLOOKUP(G347,[32]Sheet2!A:C,3,FALSE),VLOOKUP(G347,[32]Sheet2!A:B,2,FALSE))</f>
        <v>600</v>
      </c>
      <c r="J347" s="24" t="s">
        <v>20</v>
      </c>
      <c r="K347" s="25"/>
    </row>
    <row r="348" s="6" customFormat="1" ht="31" customHeight="1" spans="1:11">
      <c r="A348" s="19">
        <v>344</v>
      </c>
      <c r="B348" s="32" t="s">
        <v>184</v>
      </c>
      <c r="C348" s="32" t="s">
        <v>385</v>
      </c>
      <c r="D348" s="32" t="s">
        <v>402</v>
      </c>
      <c r="E348" s="27" t="s">
        <v>17</v>
      </c>
      <c r="F348" s="32" t="s">
        <v>18</v>
      </c>
      <c r="G348" s="32" t="s">
        <v>19</v>
      </c>
      <c r="H348" s="33">
        <v>45335</v>
      </c>
      <c r="I348" s="19">
        <f>IF(F348="是",VLOOKUP(G348,[32]Sheet2!A:C,3,FALSE),VLOOKUP(G348,[32]Sheet2!A:B,2,FALSE))</f>
        <v>600</v>
      </c>
      <c r="J348" s="24" t="s">
        <v>20</v>
      </c>
      <c r="K348" s="25"/>
    </row>
    <row r="349" s="6" customFormat="1" ht="31" customHeight="1" spans="1:11">
      <c r="A349" s="19">
        <v>345</v>
      </c>
      <c r="B349" s="26" t="s">
        <v>184</v>
      </c>
      <c r="C349" s="26" t="s">
        <v>385</v>
      </c>
      <c r="D349" s="26" t="s">
        <v>403</v>
      </c>
      <c r="E349" s="27" t="s">
        <v>17</v>
      </c>
      <c r="F349" s="26" t="s">
        <v>18</v>
      </c>
      <c r="G349" s="26" t="s">
        <v>19</v>
      </c>
      <c r="H349" s="30">
        <v>45383</v>
      </c>
      <c r="I349" s="19">
        <f>IF(F349="是",VLOOKUP(G349,[32]Sheet2!A:C,3,FALSE),VLOOKUP(G349,[32]Sheet2!A:B,2,FALSE))</f>
        <v>600</v>
      </c>
      <c r="J349" s="24" t="s">
        <v>20</v>
      </c>
      <c r="K349" s="25"/>
    </row>
    <row r="350" s="6" customFormat="1" ht="31" customHeight="1" spans="1:11">
      <c r="A350" s="19">
        <v>346</v>
      </c>
      <c r="B350" s="32" t="s">
        <v>184</v>
      </c>
      <c r="C350" s="32" t="s">
        <v>385</v>
      </c>
      <c r="D350" s="32" t="s">
        <v>404</v>
      </c>
      <c r="E350" s="27" t="s">
        <v>17</v>
      </c>
      <c r="F350" s="32" t="s">
        <v>18</v>
      </c>
      <c r="G350" s="32" t="s">
        <v>19</v>
      </c>
      <c r="H350" s="33">
        <v>45323</v>
      </c>
      <c r="I350" s="19">
        <f>IF(F350="是",VLOOKUP(G350,[32]Sheet2!A:C,3,FALSE),VLOOKUP(G350,[32]Sheet2!A:B,2,FALSE))</f>
        <v>600</v>
      </c>
      <c r="J350" s="24" t="s">
        <v>20</v>
      </c>
      <c r="K350" s="25"/>
    </row>
    <row r="351" s="6" customFormat="1" ht="31" customHeight="1" spans="1:11">
      <c r="A351" s="19">
        <v>347</v>
      </c>
      <c r="B351" s="32" t="s">
        <v>184</v>
      </c>
      <c r="C351" s="32" t="s">
        <v>385</v>
      </c>
      <c r="D351" s="32" t="s">
        <v>405</v>
      </c>
      <c r="E351" s="27" t="s">
        <v>17</v>
      </c>
      <c r="F351" s="32" t="s">
        <v>18</v>
      </c>
      <c r="G351" s="32" t="s">
        <v>19</v>
      </c>
      <c r="H351" s="33">
        <v>45323</v>
      </c>
      <c r="I351" s="19">
        <f>IF(F351="是",VLOOKUP(G351,[32]Sheet2!A:C,3,FALSE),VLOOKUP(G351,[32]Sheet2!A:B,2,FALSE))</f>
        <v>600</v>
      </c>
      <c r="J351" s="24" t="s">
        <v>20</v>
      </c>
      <c r="K351" s="25"/>
    </row>
    <row r="352" s="6" customFormat="1" ht="31" customHeight="1" spans="1:11">
      <c r="A352" s="19">
        <v>348</v>
      </c>
      <c r="B352" s="32" t="s">
        <v>184</v>
      </c>
      <c r="C352" s="32" t="s">
        <v>385</v>
      </c>
      <c r="D352" s="32" t="s">
        <v>406</v>
      </c>
      <c r="E352" s="27" t="s">
        <v>17</v>
      </c>
      <c r="F352" s="32" t="s">
        <v>18</v>
      </c>
      <c r="G352" s="32" t="s">
        <v>19</v>
      </c>
      <c r="H352" s="33">
        <v>45323</v>
      </c>
      <c r="I352" s="19">
        <f>IF(F352="是",VLOOKUP(G352,[32]Sheet2!A:C,3,FALSE),VLOOKUP(G352,[32]Sheet2!A:B,2,FALSE))</f>
        <v>600</v>
      </c>
      <c r="J352" s="24" t="s">
        <v>20</v>
      </c>
      <c r="K352" s="25"/>
    </row>
    <row r="353" s="6" customFormat="1" ht="31" customHeight="1" spans="1:11">
      <c r="A353" s="19">
        <v>349</v>
      </c>
      <c r="B353" s="32" t="s">
        <v>184</v>
      </c>
      <c r="C353" s="32" t="s">
        <v>385</v>
      </c>
      <c r="D353" s="32" t="s">
        <v>407</v>
      </c>
      <c r="E353" s="27" t="s">
        <v>17</v>
      </c>
      <c r="F353" s="32" t="s">
        <v>18</v>
      </c>
      <c r="G353" s="32" t="s">
        <v>19</v>
      </c>
      <c r="H353" s="33">
        <v>45330</v>
      </c>
      <c r="I353" s="19">
        <f>IF(F353="是",VLOOKUP(G353,[32]Sheet2!A:C,3,FALSE),VLOOKUP(G353,[32]Sheet2!A:B,2,FALSE))</f>
        <v>600</v>
      </c>
      <c r="J353" s="24" t="s">
        <v>20</v>
      </c>
      <c r="K353" s="25"/>
    </row>
    <row r="354" s="6" customFormat="1" ht="31" customHeight="1" spans="1:11">
      <c r="A354" s="19">
        <v>350</v>
      </c>
      <c r="B354" s="32" t="s">
        <v>184</v>
      </c>
      <c r="C354" s="32" t="s">
        <v>385</v>
      </c>
      <c r="D354" s="32" t="s">
        <v>408</v>
      </c>
      <c r="E354" s="27" t="s">
        <v>17</v>
      </c>
      <c r="F354" s="32" t="s">
        <v>18</v>
      </c>
      <c r="G354" s="32" t="s">
        <v>19</v>
      </c>
      <c r="H354" s="33">
        <v>45330</v>
      </c>
      <c r="I354" s="19">
        <f>IF(F354="是",VLOOKUP(G354,[32]Sheet2!A:C,3,FALSE),VLOOKUP(G354,[32]Sheet2!A:B,2,FALSE))</f>
        <v>600</v>
      </c>
      <c r="J354" s="24" t="s">
        <v>20</v>
      </c>
      <c r="K354" s="25"/>
    </row>
    <row r="355" s="6" customFormat="1" ht="31" customHeight="1" spans="1:11">
      <c r="A355" s="19">
        <v>351</v>
      </c>
      <c r="B355" s="32" t="s">
        <v>184</v>
      </c>
      <c r="C355" s="32" t="s">
        <v>385</v>
      </c>
      <c r="D355" s="32" t="s">
        <v>409</v>
      </c>
      <c r="E355" s="27" t="s">
        <v>17</v>
      </c>
      <c r="F355" s="32" t="s">
        <v>18</v>
      </c>
      <c r="G355" s="32" t="s">
        <v>19</v>
      </c>
      <c r="H355" s="33">
        <v>45292</v>
      </c>
      <c r="I355" s="19">
        <f>IF(F355="是",VLOOKUP(G355,[32]Sheet2!A:C,3,FALSE),VLOOKUP(G355,[32]Sheet2!A:B,2,FALSE))</f>
        <v>600</v>
      </c>
      <c r="J355" s="24" t="s">
        <v>20</v>
      </c>
      <c r="K355" s="25"/>
    </row>
    <row r="356" s="6" customFormat="1" ht="31" customHeight="1" spans="1:11">
      <c r="A356" s="19">
        <v>352</v>
      </c>
      <c r="B356" s="32" t="s">
        <v>184</v>
      </c>
      <c r="C356" s="32" t="s">
        <v>385</v>
      </c>
      <c r="D356" s="32" t="s">
        <v>410</v>
      </c>
      <c r="E356" s="27" t="s">
        <v>17</v>
      </c>
      <c r="F356" s="32" t="s">
        <v>18</v>
      </c>
      <c r="G356" s="32" t="s">
        <v>55</v>
      </c>
      <c r="H356" s="33">
        <v>45330</v>
      </c>
      <c r="I356" s="19">
        <f>IF(F356="是",VLOOKUP(G356,[32]Sheet2!A:C,3,FALSE),VLOOKUP(G356,[32]Sheet2!A:B,2,FALSE))</f>
        <v>800</v>
      </c>
      <c r="J356" s="24" t="s">
        <v>20</v>
      </c>
      <c r="K356" s="25"/>
    </row>
    <row r="357" s="6" customFormat="1" ht="31" customHeight="1" spans="1:11">
      <c r="A357" s="19">
        <v>353</v>
      </c>
      <c r="B357" s="20" t="s">
        <v>411</v>
      </c>
      <c r="C357" s="20" t="s">
        <v>412</v>
      </c>
      <c r="D357" s="20" t="s">
        <v>413</v>
      </c>
      <c r="E357" s="21" t="s">
        <v>17</v>
      </c>
      <c r="F357" s="20" t="s">
        <v>18</v>
      </c>
      <c r="G357" s="20" t="s">
        <v>19</v>
      </c>
      <c r="H357" s="23">
        <v>45324</v>
      </c>
      <c r="I357" s="19">
        <f>IF(F357="是",VLOOKUP(G357,[160]Sheet2!A:C,3,FALSE),VLOOKUP(G357,[160]Sheet2!A:B,2,FALSE))</f>
        <v>600</v>
      </c>
      <c r="J357" s="24" t="s">
        <v>20</v>
      </c>
      <c r="K357" s="25"/>
    </row>
    <row r="358" s="6" customFormat="1" ht="31" customHeight="1" spans="1:11">
      <c r="A358" s="19">
        <v>354</v>
      </c>
      <c r="B358" s="20" t="s">
        <v>411</v>
      </c>
      <c r="C358" s="20" t="s">
        <v>412</v>
      </c>
      <c r="D358" s="20" t="s">
        <v>414</v>
      </c>
      <c r="E358" s="21" t="s">
        <v>17</v>
      </c>
      <c r="F358" s="20" t="s">
        <v>18</v>
      </c>
      <c r="G358" s="20" t="s">
        <v>19</v>
      </c>
      <c r="H358" s="23">
        <v>45324</v>
      </c>
      <c r="I358" s="19">
        <f>IF(F358="是",VLOOKUP(G358,[160]Sheet2!A:C,3,FALSE),VLOOKUP(G358,[160]Sheet2!A:B,2,FALSE))</f>
        <v>600</v>
      </c>
      <c r="J358" s="24" t="s">
        <v>20</v>
      </c>
      <c r="K358" s="25"/>
    </row>
    <row r="359" s="6" customFormat="1" ht="31" customHeight="1" spans="1:11">
      <c r="A359" s="19">
        <v>355</v>
      </c>
      <c r="B359" s="20" t="s">
        <v>411</v>
      </c>
      <c r="C359" s="20" t="s">
        <v>412</v>
      </c>
      <c r="D359" s="20" t="s">
        <v>415</v>
      </c>
      <c r="E359" s="21" t="s">
        <v>17</v>
      </c>
      <c r="F359" s="20" t="s">
        <v>18</v>
      </c>
      <c r="G359" s="20" t="s">
        <v>19</v>
      </c>
      <c r="H359" s="23">
        <v>45292</v>
      </c>
      <c r="I359" s="19">
        <f>IF(F359="是",VLOOKUP(G359,[160]Sheet2!A:C,3,FALSE),VLOOKUP(G359,[160]Sheet2!A:B,2,FALSE))</f>
        <v>600</v>
      </c>
      <c r="J359" s="24" t="s">
        <v>20</v>
      </c>
      <c r="K359" s="25"/>
    </row>
    <row r="360" s="6" customFormat="1" ht="31" customHeight="1" spans="1:11">
      <c r="A360" s="19">
        <v>356</v>
      </c>
      <c r="B360" s="20" t="s">
        <v>411</v>
      </c>
      <c r="C360" s="20" t="s">
        <v>412</v>
      </c>
      <c r="D360" s="20" t="s">
        <v>416</v>
      </c>
      <c r="E360" s="21" t="s">
        <v>17</v>
      </c>
      <c r="F360" s="20" t="s">
        <v>18</v>
      </c>
      <c r="G360" s="20" t="s">
        <v>19</v>
      </c>
      <c r="H360" s="23">
        <v>45292</v>
      </c>
      <c r="I360" s="19">
        <f>IF(F360="是",VLOOKUP(G360,[160]Sheet2!A:C,3,FALSE),VLOOKUP(G360,[160]Sheet2!A:B,2,FALSE))</f>
        <v>600</v>
      </c>
      <c r="J360" s="24" t="s">
        <v>20</v>
      </c>
      <c r="K360" s="25"/>
    </row>
    <row r="361" s="6" customFormat="1" ht="31" customHeight="1" spans="1:11">
      <c r="A361" s="19">
        <v>357</v>
      </c>
      <c r="B361" s="20" t="s">
        <v>411</v>
      </c>
      <c r="C361" s="20" t="s">
        <v>417</v>
      </c>
      <c r="D361" s="20" t="s">
        <v>418</v>
      </c>
      <c r="E361" s="21" t="s">
        <v>17</v>
      </c>
      <c r="F361" s="20" t="s">
        <v>18</v>
      </c>
      <c r="G361" s="20" t="s">
        <v>32</v>
      </c>
      <c r="H361" s="23">
        <v>45324</v>
      </c>
      <c r="I361" s="19">
        <f>IF(F361="是",VLOOKUP(G361,[73]Sheet2!A:C,3,FALSE),VLOOKUP(G361,[73]Sheet2!A:B,2,FALSE))</f>
        <v>800</v>
      </c>
      <c r="J361" s="24" t="s">
        <v>20</v>
      </c>
      <c r="K361" s="25"/>
    </row>
    <row r="362" s="6" customFormat="1" ht="31" customHeight="1" spans="1:11">
      <c r="A362" s="19">
        <v>358</v>
      </c>
      <c r="B362" s="20" t="s">
        <v>411</v>
      </c>
      <c r="C362" s="20" t="s">
        <v>417</v>
      </c>
      <c r="D362" s="20" t="s">
        <v>419</v>
      </c>
      <c r="E362" s="21" t="s">
        <v>17</v>
      </c>
      <c r="F362" s="20" t="s">
        <v>18</v>
      </c>
      <c r="G362" s="20" t="s">
        <v>32</v>
      </c>
      <c r="H362" s="23">
        <v>45351</v>
      </c>
      <c r="I362" s="19">
        <v>800</v>
      </c>
      <c r="J362" s="24" t="s">
        <v>20</v>
      </c>
      <c r="K362" s="25"/>
    </row>
    <row r="363" s="6" customFormat="1" ht="31" customHeight="1" spans="1:11">
      <c r="A363" s="19">
        <v>359</v>
      </c>
      <c r="B363" s="20" t="s">
        <v>411</v>
      </c>
      <c r="C363" s="20" t="s">
        <v>417</v>
      </c>
      <c r="D363" s="20" t="s">
        <v>420</v>
      </c>
      <c r="E363" s="21" t="s">
        <v>17</v>
      </c>
      <c r="F363" s="20" t="s">
        <v>18</v>
      </c>
      <c r="G363" s="20" t="s">
        <v>19</v>
      </c>
      <c r="H363" s="23">
        <v>45352</v>
      </c>
      <c r="I363" s="19">
        <f>IF(F363="是",VLOOKUP(G363,[84]Sheet2!A:C,3,FALSE),VLOOKUP(G363,[84]Sheet2!A:B,2,FALSE))</f>
        <v>600</v>
      </c>
      <c r="J363" s="24" t="s">
        <v>20</v>
      </c>
      <c r="K363" s="25"/>
    </row>
    <row r="364" s="6" customFormat="1" ht="31" customHeight="1" spans="1:11">
      <c r="A364" s="19">
        <v>360</v>
      </c>
      <c r="B364" s="20" t="s">
        <v>411</v>
      </c>
      <c r="C364" s="20" t="s">
        <v>417</v>
      </c>
      <c r="D364" s="20" t="s">
        <v>421</v>
      </c>
      <c r="E364" s="21" t="s">
        <v>17</v>
      </c>
      <c r="F364" s="20" t="s">
        <v>18</v>
      </c>
      <c r="G364" s="20" t="s">
        <v>32</v>
      </c>
      <c r="H364" s="23">
        <v>45352</v>
      </c>
      <c r="I364" s="19">
        <v>800</v>
      </c>
      <c r="J364" s="24" t="s">
        <v>20</v>
      </c>
      <c r="K364" s="25"/>
    </row>
    <row r="365" s="6" customFormat="1" ht="31" customHeight="1" spans="1:11">
      <c r="A365" s="19">
        <v>361</v>
      </c>
      <c r="B365" s="20" t="s">
        <v>411</v>
      </c>
      <c r="C365" s="20" t="s">
        <v>417</v>
      </c>
      <c r="D365" s="20" t="s">
        <v>422</v>
      </c>
      <c r="E365" s="21" t="s">
        <v>17</v>
      </c>
      <c r="F365" s="20" t="s">
        <v>18</v>
      </c>
      <c r="G365" s="20" t="s">
        <v>32</v>
      </c>
      <c r="H365" s="23">
        <v>45352</v>
      </c>
      <c r="I365" s="19">
        <v>800</v>
      </c>
      <c r="J365" s="24" t="s">
        <v>20</v>
      </c>
      <c r="K365" s="25"/>
    </row>
    <row r="366" s="6" customFormat="1" ht="31" customHeight="1" spans="1:11">
      <c r="A366" s="19">
        <v>362</v>
      </c>
      <c r="B366" s="20" t="s">
        <v>411</v>
      </c>
      <c r="C366" s="20" t="s">
        <v>417</v>
      </c>
      <c r="D366" s="20" t="s">
        <v>423</v>
      </c>
      <c r="E366" s="21" t="s">
        <v>17</v>
      </c>
      <c r="F366" s="20" t="s">
        <v>18</v>
      </c>
      <c r="G366" s="20" t="s">
        <v>19</v>
      </c>
      <c r="H366" s="23">
        <v>45323</v>
      </c>
      <c r="I366" s="19">
        <v>600</v>
      </c>
      <c r="J366" s="24" t="s">
        <v>20</v>
      </c>
      <c r="K366" s="25"/>
    </row>
    <row r="367" s="6" customFormat="1" ht="31" customHeight="1" spans="1:11">
      <c r="A367" s="19">
        <v>363</v>
      </c>
      <c r="B367" s="20" t="s">
        <v>411</v>
      </c>
      <c r="C367" s="20" t="s">
        <v>417</v>
      </c>
      <c r="D367" s="20" t="s">
        <v>424</v>
      </c>
      <c r="E367" s="21" t="s">
        <v>17</v>
      </c>
      <c r="F367" s="20" t="s">
        <v>18</v>
      </c>
      <c r="G367" s="20" t="s">
        <v>48</v>
      </c>
      <c r="H367" s="23">
        <v>45292</v>
      </c>
      <c r="I367" s="19">
        <f>IF(F367="是",VLOOKUP(G367,[78]Sheet2!A:C,3,FALSE),VLOOKUP(G367,[78]Sheet2!A:B,2,FALSE))</f>
        <v>800</v>
      </c>
      <c r="J367" s="24" t="s">
        <v>20</v>
      </c>
      <c r="K367" s="25"/>
    </row>
    <row r="368" s="6" customFormat="1" ht="31" customHeight="1" spans="1:11">
      <c r="A368" s="19">
        <v>364</v>
      </c>
      <c r="B368" s="20" t="s">
        <v>411</v>
      </c>
      <c r="C368" s="20" t="s">
        <v>417</v>
      </c>
      <c r="D368" s="20" t="s">
        <v>425</v>
      </c>
      <c r="E368" s="21" t="s">
        <v>17</v>
      </c>
      <c r="F368" s="20" t="s">
        <v>18</v>
      </c>
      <c r="G368" s="20" t="s">
        <v>48</v>
      </c>
      <c r="H368" s="23">
        <v>45474</v>
      </c>
      <c r="I368" s="19">
        <v>800</v>
      </c>
      <c r="J368" s="24" t="s">
        <v>20</v>
      </c>
      <c r="K368" s="25"/>
    </row>
    <row r="369" s="6" customFormat="1" ht="31" customHeight="1" spans="1:11">
      <c r="A369" s="19">
        <v>365</v>
      </c>
      <c r="B369" s="20" t="s">
        <v>411</v>
      </c>
      <c r="C369" s="20" t="s">
        <v>417</v>
      </c>
      <c r="D369" s="20" t="s">
        <v>426</v>
      </c>
      <c r="E369" s="21" t="s">
        <v>17</v>
      </c>
      <c r="F369" s="20" t="s">
        <v>18</v>
      </c>
      <c r="G369" s="20" t="s">
        <v>19</v>
      </c>
      <c r="H369" s="23">
        <v>45352</v>
      </c>
      <c r="I369" s="19">
        <v>600</v>
      </c>
      <c r="J369" s="24" t="s">
        <v>20</v>
      </c>
      <c r="K369" s="25"/>
    </row>
    <row r="370" s="6" customFormat="1" ht="31" customHeight="1" spans="1:11">
      <c r="A370" s="19">
        <v>366</v>
      </c>
      <c r="B370" s="20" t="s">
        <v>411</v>
      </c>
      <c r="C370" s="20" t="s">
        <v>417</v>
      </c>
      <c r="D370" s="20" t="s">
        <v>427</v>
      </c>
      <c r="E370" s="21" t="s">
        <v>17</v>
      </c>
      <c r="F370" s="20" t="s">
        <v>18</v>
      </c>
      <c r="G370" s="20" t="s">
        <v>48</v>
      </c>
      <c r="H370" s="23">
        <v>45324</v>
      </c>
      <c r="I370" s="19">
        <v>800</v>
      </c>
      <c r="J370" s="24" t="s">
        <v>20</v>
      </c>
      <c r="K370" s="25"/>
    </row>
    <row r="371" s="6" customFormat="1" ht="31" customHeight="1" spans="1:11">
      <c r="A371" s="19">
        <v>367</v>
      </c>
      <c r="B371" s="20" t="s">
        <v>411</v>
      </c>
      <c r="C371" s="20" t="s">
        <v>417</v>
      </c>
      <c r="D371" s="20" t="s">
        <v>428</v>
      </c>
      <c r="E371" s="21" t="s">
        <v>17</v>
      </c>
      <c r="F371" s="20" t="s">
        <v>18</v>
      </c>
      <c r="G371" s="20" t="s">
        <v>19</v>
      </c>
      <c r="H371" s="23">
        <v>45324</v>
      </c>
      <c r="I371" s="19">
        <v>600</v>
      </c>
      <c r="J371" s="24" t="s">
        <v>20</v>
      </c>
      <c r="K371" s="25"/>
    </row>
    <row r="372" s="6" customFormat="1" ht="31" customHeight="1" spans="1:11">
      <c r="A372" s="19">
        <v>368</v>
      </c>
      <c r="B372" s="20" t="s">
        <v>411</v>
      </c>
      <c r="C372" s="20" t="s">
        <v>417</v>
      </c>
      <c r="D372" s="20" t="s">
        <v>429</v>
      </c>
      <c r="E372" s="21" t="s">
        <v>17</v>
      </c>
      <c r="F372" s="20" t="s">
        <v>18</v>
      </c>
      <c r="G372" s="20" t="s">
        <v>19</v>
      </c>
      <c r="H372" s="23">
        <v>45292</v>
      </c>
      <c r="I372" s="19">
        <v>600</v>
      </c>
      <c r="J372" s="24" t="s">
        <v>20</v>
      </c>
      <c r="K372" s="25"/>
    </row>
    <row r="373" s="6" customFormat="1" ht="31" customHeight="1" spans="1:11">
      <c r="A373" s="19">
        <v>369</v>
      </c>
      <c r="B373" s="20" t="s">
        <v>411</v>
      </c>
      <c r="C373" s="20" t="s">
        <v>417</v>
      </c>
      <c r="D373" s="20" t="s">
        <v>430</v>
      </c>
      <c r="E373" s="21" t="s">
        <v>17</v>
      </c>
      <c r="F373" s="20" t="s">
        <v>18</v>
      </c>
      <c r="G373" s="20" t="s">
        <v>19</v>
      </c>
      <c r="H373" s="23">
        <v>45325</v>
      </c>
      <c r="I373" s="19">
        <f>IF(F373="是",VLOOKUP(G373,[75]Sheet2!A:C,3,FALSE),VLOOKUP(G373,[75]Sheet2!A:B,2,FALSE))</f>
        <v>600</v>
      </c>
      <c r="J373" s="24" t="s">
        <v>20</v>
      </c>
      <c r="K373" s="25"/>
    </row>
    <row r="374" s="6" customFormat="1" ht="31" customHeight="1" spans="1:11">
      <c r="A374" s="19">
        <v>370</v>
      </c>
      <c r="B374" s="20" t="s">
        <v>411</v>
      </c>
      <c r="C374" s="20" t="s">
        <v>417</v>
      </c>
      <c r="D374" s="20" t="s">
        <v>431</v>
      </c>
      <c r="E374" s="21" t="s">
        <v>17</v>
      </c>
      <c r="F374" s="20" t="s">
        <v>18</v>
      </c>
      <c r="G374" s="20" t="s">
        <v>19</v>
      </c>
      <c r="H374" s="23">
        <v>45325</v>
      </c>
      <c r="I374" s="19">
        <f>IF(F374="是",VLOOKUP(G374,[75]Sheet2!A:C,3,FALSE),VLOOKUP(G374,[75]Sheet2!A:B,2,FALSE))</f>
        <v>600</v>
      </c>
      <c r="J374" s="24" t="s">
        <v>20</v>
      </c>
      <c r="K374" s="25"/>
    </row>
    <row r="375" s="6" customFormat="1" ht="31" customHeight="1" spans="1:11">
      <c r="A375" s="19">
        <v>371</v>
      </c>
      <c r="B375" s="20" t="s">
        <v>411</v>
      </c>
      <c r="C375" s="20" t="s">
        <v>417</v>
      </c>
      <c r="D375" s="20" t="s">
        <v>432</v>
      </c>
      <c r="E375" s="21" t="s">
        <v>17</v>
      </c>
      <c r="F375" s="20" t="s">
        <v>18</v>
      </c>
      <c r="G375" s="20" t="s">
        <v>19</v>
      </c>
      <c r="H375" s="23">
        <v>45325</v>
      </c>
      <c r="I375" s="19">
        <f>IF(F375="是",VLOOKUP(G375,[75]Sheet2!A:C,3,FALSE),VLOOKUP(G375,[75]Sheet2!A:B,2,FALSE))</f>
        <v>600</v>
      </c>
      <c r="J375" s="24" t="s">
        <v>20</v>
      </c>
      <c r="K375" s="25"/>
    </row>
    <row r="376" s="6" customFormat="1" ht="31" customHeight="1" spans="1:11">
      <c r="A376" s="19">
        <v>372</v>
      </c>
      <c r="B376" s="20" t="s">
        <v>411</v>
      </c>
      <c r="C376" s="20" t="s">
        <v>417</v>
      </c>
      <c r="D376" s="20" t="s">
        <v>433</v>
      </c>
      <c r="E376" s="21" t="s">
        <v>17</v>
      </c>
      <c r="F376" s="20" t="s">
        <v>18</v>
      </c>
      <c r="G376" s="20" t="s">
        <v>19</v>
      </c>
      <c r="H376" s="23">
        <v>45325</v>
      </c>
      <c r="I376" s="19">
        <f>IF(F376="是",VLOOKUP(G376,[75]Sheet2!A:C,3,FALSE),VLOOKUP(G376,[75]Sheet2!A:B,2,FALSE))</f>
        <v>600</v>
      </c>
      <c r="J376" s="24" t="s">
        <v>20</v>
      </c>
      <c r="K376" s="25"/>
    </row>
    <row r="377" s="6" customFormat="1" ht="31" customHeight="1" spans="1:11">
      <c r="A377" s="19">
        <v>373</v>
      </c>
      <c r="B377" s="20" t="s">
        <v>411</v>
      </c>
      <c r="C377" s="20" t="s">
        <v>417</v>
      </c>
      <c r="D377" s="20" t="s">
        <v>434</v>
      </c>
      <c r="E377" s="21" t="s">
        <v>17</v>
      </c>
      <c r="F377" s="20" t="s">
        <v>18</v>
      </c>
      <c r="G377" s="20" t="s">
        <v>19</v>
      </c>
      <c r="H377" s="23">
        <v>45326</v>
      </c>
      <c r="I377" s="19">
        <f>IF(F377="是",VLOOKUP(G377,[77]Sheet2!A:C,3,FALSE),VLOOKUP(G377,[77]Sheet2!A:B,2,FALSE))</f>
        <v>600</v>
      </c>
      <c r="J377" s="24" t="s">
        <v>20</v>
      </c>
      <c r="K377" s="25"/>
    </row>
    <row r="378" s="6" customFormat="1" ht="31" customHeight="1" spans="1:11">
      <c r="A378" s="19">
        <v>374</v>
      </c>
      <c r="B378" s="20" t="s">
        <v>411</v>
      </c>
      <c r="C378" s="20" t="s">
        <v>417</v>
      </c>
      <c r="D378" s="20" t="s">
        <v>435</v>
      </c>
      <c r="E378" s="21" t="s">
        <v>17</v>
      </c>
      <c r="F378" s="20" t="s">
        <v>18</v>
      </c>
      <c r="G378" s="20" t="s">
        <v>19</v>
      </c>
      <c r="H378" s="23">
        <v>45325</v>
      </c>
      <c r="I378" s="19">
        <v>600</v>
      </c>
      <c r="J378" s="24" t="s">
        <v>20</v>
      </c>
      <c r="K378" s="25"/>
    </row>
    <row r="379" s="6" customFormat="1" ht="31" customHeight="1" spans="1:11">
      <c r="A379" s="19">
        <v>375</v>
      </c>
      <c r="B379" s="20" t="s">
        <v>411</v>
      </c>
      <c r="C379" s="20" t="s">
        <v>417</v>
      </c>
      <c r="D379" s="20" t="s">
        <v>436</v>
      </c>
      <c r="E379" s="21" t="s">
        <v>17</v>
      </c>
      <c r="F379" s="20" t="s">
        <v>18</v>
      </c>
      <c r="G379" s="20" t="s">
        <v>437</v>
      </c>
      <c r="H379" s="23">
        <v>45324</v>
      </c>
      <c r="I379" s="19">
        <f>IF(F379="是",VLOOKUP(G379,[71]Sheet2!A:C,3,FALSE),VLOOKUP(G379,[71]Sheet2!A:B,2,FALSE))</f>
        <v>800</v>
      </c>
      <c r="J379" s="24" t="s">
        <v>20</v>
      </c>
      <c r="K379" s="25"/>
    </row>
    <row r="380" s="6" customFormat="1" ht="31" customHeight="1" spans="1:11">
      <c r="A380" s="19">
        <v>376</v>
      </c>
      <c r="B380" s="20" t="s">
        <v>411</v>
      </c>
      <c r="C380" s="20" t="s">
        <v>417</v>
      </c>
      <c r="D380" s="20" t="s">
        <v>438</v>
      </c>
      <c r="E380" s="21" t="s">
        <v>17</v>
      </c>
      <c r="F380" s="20" t="s">
        <v>18</v>
      </c>
      <c r="G380" s="20" t="s">
        <v>48</v>
      </c>
      <c r="H380" s="23" t="s">
        <v>238</v>
      </c>
      <c r="I380" s="19">
        <f>IF(F380="是",VLOOKUP(G380,[64]Sheet2!A:C,3,FALSE),VLOOKUP(G380,[64]Sheet2!A:B,2,FALSE))</f>
        <v>800</v>
      </c>
      <c r="J380" s="24" t="s">
        <v>20</v>
      </c>
      <c r="K380" s="25"/>
    </row>
    <row r="381" s="6" customFormat="1" ht="31" customHeight="1" spans="1:11">
      <c r="A381" s="19">
        <v>377</v>
      </c>
      <c r="B381" s="20" t="s">
        <v>411</v>
      </c>
      <c r="C381" s="20" t="s">
        <v>417</v>
      </c>
      <c r="D381" s="20" t="s">
        <v>439</v>
      </c>
      <c r="E381" s="21" t="s">
        <v>17</v>
      </c>
      <c r="F381" s="20" t="s">
        <v>18</v>
      </c>
      <c r="G381" s="20" t="s">
        <v>19</v>
      </c>
      <c r="H381" s="23">
        <v>45352</v>
      </c>
      <c r="I381" s="19">
        <f>IF(F381="是",VLOOKUP(G381,[66]Sheet2!A:C,3,FALSE),VLOOKUP(G381,[66]Sheet2!A:B,2,FALSE))</f>
        <v>600</v>
      </c>
      <c r="J381" s="24" t="s">
        <v>20</v>
      </c>
      <c r="K381" s="25"/>
    </row>
    <row r="382" s="6" customFormat="1" ht="31" customHeight="1" spans="1:11">
      <c r="A382" s="19">
        <v>378</v>
      </c>
      <c r="B382" s="20" t="s">
        <v>411</v>
      </c>
      <c r="C382" s="20" t="s">
        <v>417</v>
      </c>
      <c r="D382" s="20" t="s">
        <v>440</v>
      </c>
      <c r="E382" s="21" t="s">
        <v>17</v>
      </c>
      <c r="F382" s="20" t="s">
        <v>18</v>
      </c>
      <c r="G382" s="20" t="s">
        <v>19</v>
      </c>
      <c r="H382" s="23" t="s">
        <v>238</v>
      </c>
      <c r="I382" s="19">
        <f>IF(F382="是",VLOOKUP(G382,[67]Sheet2!A:C,3,FALSE),VLOOKUP(G382,[67]Sheet2!A:B,2,FALSE))</f>
        <v>600</v>
      </c>
      <c r="J382" s="24" t="s">
        <v>20</v>
      </c>
      <c r="K382" s="25"/>
    </row>
    <row r="383" s="6" customFormat="1" ht="31" customHeight="1" spans="1:11">
      <c r="A383" s="19">
        <v>379</v>
      </c>
      <c r="B383" s="20" t="s">
        <v>411</v>
      </c>
      <c r="C383" s="20" t="s">
        <v>417</v>
      </c>
      <c r="D383" s="20" t="s">
        <v>441</v>
      </c>
      <c r="E383" s="21" t="s">
        <v>17</v>
      </c>
      <c r="F383" s="20" t="s">
        <v>18</v>
      </c>
      <c r="G383" s="20" t="s">
        <v>19</v>
      </c>
      <c r="H383" s="23" t="s">
        <v>238</v>
      </c>
      <c r="I383" s="19">
        <f>IF(F383="是",VLOOKUP(G383,[67]Sheet2!A:C,3,FALSE),VLOOKUP(G383,[67]Sheet2!A:B,2,FALSE))</f>
        <v>600</v>
      </c>
      <c r="J383" s="24" t="s">
        <v>20</v>
      </c>
      <c r="K383" s="25"/>
    </row>
    <row r="384" s="6" customFormat="1" ht="31" customHeight="1" spans="1:11">
      <c r="A384" s="19">
        <v>380</v>
      </c>
      <c r="B384" s="20" t="s">
        <v>411</v>
      </c>
      <c r="C384" s="20" t="s">
        <v>417</v>
      </c>
      <c r="D384" s="20" t="s">
        <v>442</v>
      </c>
      <c r="E384" s="21" t="s">
        <v>17</v>
      </c>
      <c r="F384" s="20" t="s">
        <v>18</v>
      </c>
      <c r="G384" s="20" t="s">
        <v>19</v>
      </c>
      <c r="H384" s="23" t="s">
        <v>238</v>
      </c>
      <c r="I384" s="19">
        <f>IF(F384="是",VLOOKUP(G384,[68]Sheet2!A:C,3,FALSE),VLOOKUP(G384,[68]Sheet2!A:B,2,FALSE))</f>
        <v>600</v>
      </c>
      <c r="J384" s="24" t="s">
        <v>20</v>
      </c>
      <c r="K384" s="25"/>
    </row>
    <row r="385" s="6" customFormat="1" ht="31" customHeight="1" spans="1:11">
      <c r="A385" s="19">
        <v>381</v>
      </c>
      <c r="B385" s="20" t="s">
        <v>411</v>
      </c>
      <c r="C385" s="20" t="s">
        <v>417</v>
      </c>
      <c r="D385" s="20" t="s">
        <v>443</v>
      </c>
      <c r="E385" s="21" t="s">
        <v>17</v>
      </c>
      <c r="F385" s="20" t="s">
        <v>18</v>
      </c>
      <c r="G385" s="20" t="s">
        <v>32</v>
      </c>
      <c r="H385" s="23">
        <v>45323</v>
      </c>
      <c r="I385" s="19">
        <f>IF(F385="是",VLOOKUP(G385,[69]Sheet2!A:C,3,FALSE),VLOOKUP(G385,[69]Sheet2!A:B,2,FALSE))</f>
        <v>800</v>
      </c>
      <c r="J385" s="24" t="s">
        <v>20</v>
      </c>
      <c r="K385" s="25"/>
    </row>
    <row r="386" s="6" customFormat="1" ht="31" customHeight="1" spans="1:11">
      <c r="A386" s="19">
        <v>382</v>
      </c>
      <c r="B386" s="20" t="s">
        <v>411</v>
      </c>
      <c r="C386" s="20" t="s">
        <v>417</v>
      </c>
      <c r="D386" s="20" t="s">
        <v>388</v>
      </c>
      <c r="E386" s="21" t="s">
        <v>17</v>
      </c>
      <c r="F386" s="20" t="s">
        <v>18</v>
      </c>
      <c r="G386" s="20" t="s">
        <v>19</v>
      </c>
      <c r="H386" s="23" t="s">
        <v>238</v>
      </c>
      <c r="I386" s="19">
        <v>600</v>
      </c>
      <c r="J386" s="24" t="s">
        <v>20</v>
      </c>
      <c r="K386" s="25"/>
    </row>
    <row r="387" s="6" customFormat="1" ht="31" customHeight="1" spans="1:11">
      <c r="A387" s="19">
        <v>383</v>
      </c>
      <c r="B387" s="20" t="s">
        <v>411</v>
      </c>
      <c r="C387" s="20" t="s">
        <v>417</v>
      </c>
      <c r="D387" s="20" t="s">
        <v>444</v>
      </c>
      <c r="E387" s="21" t="s">
        <v>17</v>
      </c>
      <c r="F387" s="20" t="s">
        <v>18</v>
      </c>
      <c r="G387" s="20" t="s">
        <v>48</v>
      </c>
      <c r="H387" s="23" t="s">
        <v>238</v>
      </c>
      <c r="I387" s="19">
        <v>800</v>
      </c>
      <c r="J387" s="24" t="s">
        <v>20</v>
      </c>
      <c r="K387" s="25"/>
    </row>
    <row r="388" s="6" customFormat="1" ht="31" customHeight="1" spans="1:11">
      <c r="A388" s="19">
        <v>384</v>
      </c>
      <c r="B388" s="20" t="s">
        <v>411</v>
      </c>
      <c r="C388" s="20" t="s">
        <v>417</v>
      </c>
      <c r="D388" s="20" t="s">
        <v>445</v>
      </c>
      <c r="E388" s="21" t="s">
        <v>17</v>
      </c>
      <c r="F388" s="20" t="s">
        <v>18</v>
      </c>
      <c r="G388" s="20" t="s">
        <v>19</v>
      </c>
      <c r="H388" s="23" t="s">
        <v>446</v>
      </c>
      <c r="I388" s="19">
        <f>IF(F388="是",VLOOKUP(G388,[62]Sheet2!A:C,3,FALSE),VLOOKUP(G388,[62]Sheet2!A:B,2,FALSE))</f>
        <v>600</v>
      </c>
      <c r="J388" s="24" t="s">
        <v>20</v>
      </c>
      <c r="K388" s="25"/>
    </row>
    <row r="389" s="6" customFormat="1" ht="31" customHeight="1" spans="1:11">
      <c r="A389" s="19">
        <v>385</v>
      </c>
      <c r="B389" s="20" t="s">
        <v>411</v>
      </c>
      <c r="C389" s="20" t="s">
        <v>417</v>
      </c>
      <c r="D389" s="20" t="s">
        <v>447</v>
      </c>
      <c r="E389" s="21" t="s">
        <v>17</v>
      </c>
      <c r="F389" s="20" t="s">
        <v>18</v>
      </c>
      <c r="G389" s="20" t="s">
        <v>32</v>
      </c>
      <c r="H389" s="23" t="s">
        <v>238</v>
      </c>
      <c r="I389" s="19">
        <f>IF(F389="是",VLOOKUP(G389,[63]Sheet2!A:C,3,FALSE),VLOOKUP(G389,[63]Sheet2!A:B,2,FALSE))</f>
        <v>800</v>
      </c>
      <c r="J389" s="24" t="s">
        <v>20</v>
      </c>
      <c r="K389" s="25"/>
    </row>
    <row r="390" s="6" customFormat="1" ht="31" customHeight="1" spans="1:11">
      <c r="A390" s="19">
        <v>386</v>
      </c>
      <c r="B390" s="20" t="s">
        <v>411</v>
      </c>
      <c r="C390" s="20" t="s">
        <v>417</v>
      </c>
      <c r="D390" s="20" t="s">
        <v>448</v>
      </c>
      <c r="E390" s="21" t="s">
        <v>17</v>
      </c>
      <c r="F390" s="20" t="s">
        <v>18</v>
      </c>
      <c r="G390" s="20" t="s">
        <v>19</v>
      </c>
      <c r="H390" s="23" t="s">
        <v>449</v>
      </c>
      <c r="I390" s="19">
        <f>IF(F390="是",VLOOKUP(G390,[65]Sheet2!A:C,3,FALSE),VLOOKUP(G390,[65]Sheet2!A:B,2,FALSE))</f>
        <v>600</v>
      </c>
      <c r="J390" s="24" t="s">
        <v>20</v>
      </c>
      <c r="K390" s="25"/>
    </row>
    <row r="391" s="6" customFormat="1" ht="31" customHeight="1" spans="1:11">
      <c r="A391" s="19">
        <v>387</v>
      </c>
      <c r="B391" s="20" t="s">
        <v>411</v>
      </c>
      <c r="C391" s="20" t="s">
        <v>417</v>
      </c>
      <c r="D391" s="20" t="s">
        <v>450</v>
      </c>
      <c r="E391" s="21" t="s">
        <v>17</v>
      </c>
      <c r="F391" s="20" t="s">
        <v>18</v>
      </c>
      <c r="G391" s="20" t="s">
        <v>19</v>
      </c>
      <c r="H391" s="23">
        <v>45323</v>
      </c>
      <c r="I391" s="19">
        <f>IF(F391="是",VLOOKUP(G391,[70]Sheet2!A:C,3,FALSE),VLOOKUP(G391,[70]Sheet2!A:B,2,FALSE))</f>
        <v>600</v>
      </c>
      <c r="J391" s="24" t="s">
        <v>20</v>
      </c>
      <c r="K391" s="25"/>
    </row>
    <row r="392" s="6" customFormat="1" ht="31" customHeight="1" spans="1:11">
      <c r="A392" s="19">
        <v>388</v>
      </c>
      <c r="B392" s="20" t="s">
        <v>411</v>
      </c>
      <c r="C392" s="20" t="s">
        <v>417</v>
      </c>
      <c r="D392" s="20" t="s">
        <v>451</v>
      </c>
      <c r="E392" s="21" t="s">
        <v>17</v>
      </c>
      <c r="F392" s="20" t="s">
        <v>18</v>
      </c>
      <c r="G392" s="20" t="s">
        <v>19</v>
      </c>
      <c r="H392" s="23">
        <v>45324</v>
      </c>
      <c r="I392" s="19">
        <v>600</v>
      </c>
      <c r="J392" s="24" t="s">
        <v>20</v>
      </c>
      <c r="K392" s="25"/>
    </row>
    <row r="393" s="6" customFormat="1" ht="31" customHeight="1" spans="1:11">
      <c r="A393" s="19">
        <v>389</v>
      </c>
      <c r="B393" s="20" t="s">
        <v>411</v>
      </c>
      <c r="C393" s="20" t="s">
        <v>417</v>
      </c>
      <c r="D393" s="34" t="s">
        <v>452</v>
      </c>
      <c r="E393" s="21" t="s">
        <v>17</v>
      </c>
      <c r="F393" s="20" t="s">
        <v>18</v>
      </c>
      <c r="G393" s="20" t="s">
        <v>19</v>
      </c>
      <c r="H393" s="23">
        <v>45324</v>
      </c>
      <c r="I393" s="19">
        <v>600</v>
      </c>
      <c r="J393" s="24" t="s">
        <v>20</v>
      </c>
      <c r="K393" s="25"/>
    </row>
    <row r="394" s="6" customFormat="1" ht="31" customHeight="1" spans="1:11">
      <c r="A394" s="19">
        <v>390</v>
      </c>
      <c r="B394" s="20" t="s">
        <v>411</v>
      </c>
      <c r="C394" s="20" t="s">
        <v>417</v>
      </c>
      <c r="D394" s="20" t="s">
        <v>453</v>
      </c>
      <c r="E394" s="21" t="s">
        <v>17</v>
      </c>
      <c r="F394" s="20" t="s">
        <v>18</v>
      </c>
      <c r="G394" s="20" t="s">
        <v>19</v>
      </c>
      <c r="H394" s="23">
        <v>45324</v>
      </c>
      <c r="I394" s="19">
        <f>IF(F394="是",VLOOKUP(G394,[72]Sheet2!A:C,3,FALSE),VLOOKUP(G394,[72]Sheet2!A:B,2,FALSE))</f>
        <v>600</v>
      </c>
      <c r="J394" s="24" t="s">
        <v>20</v>
      </c>
      <c r="K394" s="25"/>
    </row>
    <row r="395" s="6" customFormat="1" ht="31" customHeight="1" spans="1:11">
      <c r="A395" s="19">
        <v>391</v>
      </c>
      <c r="B395" s="20" t="s">
        <v>411</v>
      </c>
      <c r="C395" s="20" t="s">
        <v>417</v>
      </c>
      <c r="D395" s="20" t="s">
        <v>454</v>
      </c>
      <c r="E395" s="21" t="s">
        <v>17</v>
      </c>
      <c r="F395" s="20" t="s">
        <v>18</v>
      </c>
      <c r="G395" s="20" t="s">
        <v>455</v>
      </c>
      <c r="H395" s="23">
        <v>45326</v>
      </c>
      <c r="I395" s="19">
        <f>IF(F395="是",VLOOKUP(G395,[74]Sheet2!A:C,3,FALSE),VLOOKUP(G395,[74]Sheet2!A:B,2,FALSE))</f>
        <v>800</v>
      </c>
      <c r="J395" s="24" t="s">
        <v>20</v>
      </c>
      <c r="K395" s="25"/>
    </row>
    <row r="396" s="6" customFormat="1" ht="31" customHeight="1" spans="1:11">
      <c r="A396" s="19">
        <v>392</v>
      </c>
      <c r="B396" s="20" t="s">
        <v>411</v>
      </c>
      <c r="C396" s="20" t="s">
        <v>417</v>
      </c>
      <c r="D396" s="20" t="s">
        <v>456</v>
      </c>
      <c r="E396" s="21" t="s">
        <v>17</v>
      </c>
      <c r="F396" s="20" t="s">
        <v>18</v>
      </c>
      <c r="G396" s="20" t="s">
        <v>29</v>
      </c>
      <c r="H396" s="23">
        <v>45505</v>
      </c>
      <c r="I396" s="19">
        <v>800</v>
      </c>
      <c r="J396" s="24" t="s">
        <v>20</v>
      </c>
      <c r="K396" s="25"/>
    </row>
    <row r="397" s="6" customFormat="1" ht="31" customHeight="1" spans="1:11">
      <c r="A397" s="19">
        <v>393</v>
      </c>
      <c r="B397" s="20" t="s">
        <v>411</v>
      </c>
      <c r="C397" s="20" t="s">
        <v>417</v>
      </c>
      <c r="D397" s="20" t="s">
        <v>457</v>
      </c>
      <c r="E397" s="21" t="s">
        <v>17</v>
      </c>
      <c r="F397" s="20" t="s">
        <v>18</v>
      </c>
      <c r="G397" s="20" t="s">
        <v>19</v>
      </c>
      <c r="H397" s="23">
        <v>45417</v>
      </c>
      <c r="I397" s="19">
        <v>600</v>
      </c>
      <c r="J397" s="24" t="s">
        <v>20</v>
      </c>
      <c r="K397" s="25"/>
    </row>
    <row r="398" s="6" customFormat="1" ht="31" customHeight="1" spans="1:11">
      <c r="A398" s="19">
        <v>394</v>
      </c>
      <c r="B398" s="20" t="s">
        <v>411</v>
      </c>
      <c r="C398" s="20" t="s">
        <v>417</v>
      </c>
      <c r="D398" s="20" t="s">
        <v>458</v>
      </c>
      <c r="E398" s="21" t="s">
        <v>17</v>
      </c>
      <c r="F398" s="20" t="s">
        <v>18</v>
      </c>
      <c r="G398" s="20" t="s">
        <v>19</v>
      </c>
      <c r="H398" s="23">
        <v>45292</v>
      </c>
      <c r="I398" s="19">
        <f>IF(F398="是",VLOOKUP(G398,[76]Sheet2!A:C,3,FALSE),VLOOKUP(G398,[76]Sheet2!A:B,2,FALSE))</f>
        <v>600</v>
      </c>
      <c r="J398" s="24" t="s">
        <v>20</v>
      </c>
      <c r="K398" s="25"/>
    </row>
    <row r="399" s="6" customFormat="1" ht="31" customHeight="1" spans="1:11">
      <c r="A399" s="19">
        <v>395</v>
      </c>
      <c r="B399" s="20" t="s">
        <v>411</v>
      </c>
      <c r="C399" s="20" t="s">
        <v>417</v>
      </c>
      <c r="D399" s="20" t="s">
        <v>459</v>
      </c>
      <c r="E399" s="21" t="s">
        <v>17</v>
      </c>
      <c r="F399" s="20" t="s">
        <v>18</v>
      </c>
      <c r="G399" s="20" t="s">
        <v>19</v>
      </c>
      <c r="H399" s="23">
        <v>45475</v>
      </c>
      <c r="I399" s="19">
        <f>IF(F399="是",VLOOKUP(G399,[79]Sheet2!A:C,3,FALSE),VLOOKUP(G399,[79]Sheet2!A:B,2,FALSE))</f>
        <v>600</v>
      </c>
      <c r="J399" s="24" t="s">
        <v>20</v>
      </c>
      <c r="K399" s="25"/>
    </row>
    <row r="400" s="6" customFormat="1" ht="31" customHeight="1" spans="1:11">
      <c r="A400" s="19">
        <v>396</v>
      </c>
      <c r="B400" s="20" t="s">
        <v>411</v>
      </c>
      <c r="C400" s="20" t="s">
        <v>417</v>
      </c>
      <c r="D400" s="20" t="s">
        <v>460</v>
      </c>
      <c r="E400" s="21" t="s">
        <v>17</v>
      </c>
      <c r="F400" s="20" t="s">
        <v>18</v>
      </c>
      <c r="G400" s="20" t="s">
        <v>19</v>
      </c>
      <c r="H400" s="23">
        <v>45325</v>
      </c>
      <c r="I400" s="19">
        <f>IF(F400="是",VLOOKUP(G400,[80]Sheet2!A:C,3,FALSE),VLOOKUP(G400,[80]Sheet2!A:B,2,FALSE))</f>
        <v>600</v>
      </c>
      <c r="J400" s="24" t="s">
        <v>20</v>
      </c>
      <c r="K400" s="25"/>
    </row>
    <row r="401" s="6" customFormat="1" ht="31" customHeight="1" spans="1:11">
      <c r="A401" s="19">
        <v>397</v>
      </c>
      <c r="B401" s="20" t="s">
        <v>411</v>
      </c>
      <c r="C401" s="20" t="s">
        <v>417</v>
      </c>
      <c r="D401" s="20" t="s">
        <v>461</v>
      </c>
      <c r="E401" s="21" t="s">
        <v>17</v>
      </c>
      <c r="F401" s="20" t="s">
        <v>18</v>
      </c>
      <c r="G401" s="20" t="s">
        <v>19</v>
      </c>
      <c r="H401" s="23">
        <v>45386</v>
      </c>
      <c r="I401" s="19">
        <f>IF(F401="是",VLOOKUP(G401,[81]Sheet2!A:C,3,FALSE),VLOOKUP(G401,[81]Sheet2!A:B,2,FALSE))</f>
        <v>600</v>
      </c>
      <c r="J401" s="24" t="s">
        <v>20</v>
      </c>
      <c r="K401" s="25"/>
    </row>
    <row r="402" s="6" customFormat="1" ht="31" customHeight="1" spans="1:11">
      <c r="A402" s="19">
        <v>398</v>
      </c>
      <c r="B402" s="20" t="s">
        <v>411</v>
      </c>
      <c r="C402" s="20" t="s">
        <v>417</v>
      </c>
      <c r="D402" s="20" t="s">
        <v>462</v>
      </c>
      <c r="E402" s="21" t="s">
        <v>17</v>
      </c>
      <c r="F402" s="20" t="s">
        <v>18</v>
      </c>
      <c r="G402" s="20" t="s">
        <v>32</v>
      </c>
      <c r="H402" s="23">
        <v>45351</v>
      </c>
      <c r="I402" s="19">
        <f>IF(F402="是",VLOOKUP(G402,[82]Sheet2!A:C,3,FALSE),VLOOKUP(G402,[82]Sheet2!A:B,2,FALSE))</f>
        <v>800</v>
      </c>
      <c r="J402" s="24" t="s">
        <v>20</v>
      </c>
      <c r="K402" s="25"/>
    </row>
    <row r="403" s="6" customFormat="1" ht="31" customHeight="1" spans="1:11">
      <c r="A403" s="19">
        <v>399</v>
      </c>
      <c r="B403" s="20" t="s">
        <v>411</v>
      </c>
      <c r="C403" s="20" t="s">
        <v>417</v>
      </c>
      <c r="D403" s="20" t="s">
        <v>463</v>
      </c>
      <c r="E403" s="21" t="s">
        <v>17</v>
      </c>
      <c r="F403" s="20" t="s">
        <v>18</v>
      </c>
      <c r="G403" s="20" t="s">
        <v>464</v>
      </c>
      <c r="H403" s="23">
        <v>45412</v>
      </c>
      <c r="I403" s="19">
        <f>IF(F403="是",VLOOKUP(G403,[83]Sheet2!A:C,3,FALSE),VLOOKUP(G403,[83]Sheet2!A:B,2,FALSE))</f>
        <v>800</v>
      </c>
      <c r="J403" s="24" t="s">
        <v>20</v>
      </c>
      <c r="K403" s="25"/>
    </row>
    <row r="404" s="6" customFormat="1" ht="31" customHeight="1" spans="1:11">
      <c r="A404" s="19">
        <v>400</v>
      </c>
      <c r="B404" s="20" t="s">
        <v>411</v>
      </c>
      <c r="C404" s="20" t="s">
        <v>417</v>
      </c>
      <c r="D404" s="20" t="s">
        <v>465</v>
      </c>
      <c r="E404" s="21" t="s">
        <v>17</v>
      </c>
      <c r="F404" s="20" t="s">
        <v>18</v>
      </c>
      <c r="G404" s="20" t="s">
        <v>19</v>
      </c>
      <c r="H404" s="23">
        <v>45382</v>
      </c>
      <c r="I404" s="19">
        <v>600</v>
      </c>
      <c r="J404" s="24" t="s">
        <v>20</v>
      </c>
      <c r="K404" s="25"/>
    </row>
    <row r="405" s="6" customFormat="1" ht="31" customHeight="1" spans="1:11">
      <c r="A405" s="19">
        <v>401</v>
      </c>
      <c r="B405" s="20" t="s">
        <v>411</v>
      </c>
      <c r="C405" s="20" t="s">
        <v>417</v>
      </c>
      <c r="D405" s="20" t="s">
        <v>466</v>
      </c>
      <c r="E405" s="21" t="s">
        <v>17</v>
      </c>
      <c r="F405" s="20" t="s">
        <v>18</v>
      </c>
      <c r="G405" s="20" t="s">
        <v>118</v>
      </c>
      <c r="H405" s="23">
        <v>45444</v>
      </c>
      <c r="I405" s="19">
        <f>IF(F405="是",VLOOKUP(G405,[85]Sheet2!A:C,3,FALSE),VLOOKUP(G405,[85]Sheet2!A:B,2,FALSE))</f>
        <v>800</v>
      </c>
      <c r="J405" s="24" t="s">
        <v>20</v>
      </c>
      <c r="K405" s="25"/>
    </row>
    <row r="406" s="6" customFormat="1" ht="31" customHeight="1" spans="1:11">
      <c r="A406" s="19">
        <v>402</v>
      </c>
      <c r="B406" s="20" t="s">
        <v>411</v>
      </c>
      <c r="C406" s="20" t="s">
        <v>417</v>
      </c>
      <c r="D406" s="20" t="s">
        <v>467</v>
      </c>
      <c r="E406" s="21" t="s">
        <v>17</v>
      </c>
      <c r="F406" s="20" t="s">
        <v>18</v>
      </c>
      <c r="G406" s="20" t="s">
        <v>98</v>
      </c>
      <c r="H406" s="23">
        <v>45444</v>
      </c>
      <c r="I406" s="19">
        <f>IF(F406="是",VLOOKUP(G406,[85]Sheet2!A:C,3,FALSE),VLOOKUP(G406,[85]Sheet2!A:B,2,FALSE))</f>
        <v>800</v>
      </c>
      <c r="J406" s="24" t="s">
        <v>20</v>
      </c>
      <c r="K406" s="25"/>
    </row>
    <row r="407" s="6" customFormat="1" ht="31" customHeight="1" spans="1:11">
      <c r="A407" s="19">
        <v>403</v>
      </c>
      <c r="B407" s="20" t="s">
        <v>411</v>
      </c>
      <c r="C407" s="20" t="s">
        <v>417</v>
      </c>
      <c r="D407" s="20" t="s">
        <v>468</v>
      </c>
      <c r="E407" s="21" t="s">
        <v>17</v>
      </c>
      <c r="F407" s="20" t="s">
        <v>18</v>
      </c>
      <c r="G407" s="20" t="s">
        <v>19</v>
      </c>
      <c r="H407" s="23">
        <v>45371</v>
      </c>
      <c r="I407" s="19">
        <v>600</v>
      </c>
      <c r="J407" s="24" t="s">
        <v>20</v>
      </c>
      <c r="K407" s="25"/>
    </row>
    <row r="408" s="6" customFormat="1" ht="31" customHeight="1" spans="1:11">
      <c r="A408" s="19">
        <v>404</v>
      </c>
      <c r="B408" s="20" t="s">
        <v>411</v>
      </c>
      <c r="C408" s="20" t="s">
        <v>417</v>
      </c>
      <c r="D408" s="20" t="s">
        <v>469</v>
      </c>
      <c r="E408" s="21" t="s">
        <v>17</v>
      </c>
      <c r="F408" s="20" t="s">
        <v>18</v>
      </c>
      <c r="G408" s="20" t="s">
        <v>32</v>
      </c>
      <c r="H408" s="23">
        <v>45372</v>
      </c>
      <c r="I408" s="19">
        <v>800</v>
      </c>
      <c r="J408" s="24" t="s">
        <v>20</v>
      </c>
      <c r="K408" s="25"/>
    </row>
    <row r="409" s="6" customFormat="1" ht="31" customHeight="1" spans="1:11">
      <c r="A409" s="19">
        <v>405</v>
      </c>
      <c r="B409" s="20" t="s">
        <v>411</v>
      </c>
      <c r="C409" s="20" t="s">
        <v>417</v>
      </c>
      <c r="D409" s="20" t="s">
        <v>470</v>
      </c>
      <c r="E409" s="21" t="s">
        <v>17</v>
      </c>
      <c r="F409" s="20" t="s">
        <v>18</v>
      </c>
      <c r="G409" s="20" t="s">
        <v>32</v>
      </c>
      <c r="H409" s="23">
        <v>45373</v>
      </c>
      <c r="I409" s="19">
        <v>800</v>
      </c>
      <c r="J409" s="24" t="s">
        <v>20</v>
      </c>
      <c r="K409" s="25"/>
    </row>
    <row r="410" s="6" customFormat="1" ht="31" customHeight="1" spans="1:11">
      <c r="A410" s="19">
        <v>406</v>
      </c>
      <c r="B410" s="20" t="s">
        <v>411</v>
      </c>
      <c r="C410" s="20" t="s">
        <v>417</v>
      </c>
      <c r="D410" s="20" t="s">
        <v>471</v>
      </c>
      <c r="E410" s="21" t="s">
        <v>17</v>
      </c>
      <c r="F410" s="20" t="s">
        <v>18</v>
      </c>
      <c r="G410" s="20" t="s">
        <v>48</v>
      </c>
      <c r="H410" s="23">
        <v>45374</v>
      </c>
      <c r="I410" s="19">
        <f>IF(F410="是",VLOOKUP(G410,[86]Sheet2!A$1:C$65536,3,FALSE),VLOOKUP(G410,[86]Sheet2!A$1:B$65536,2,FALSE))</f>
        <v>800</v>
      </c>
      <c r="J410" s="24" t="s">
        <v>20</v>
      </c>
      <c r="K410" s="25"/>
    </row>
    <row r="411" s="6" customFormat="1" ht="31" customHeight="1" spans="1:11">
      <c r="A411" s="19">
        <v>407</v>
      </c>
      <c r="B411" s="20" t="s">
        <v>411</v>
      </c>
      <c r="C411" s="20" t="s">
        <v>417</v>
      </c>
      <c r="D411" s="20" t="s">
        <v>472</v>
      </c>
      <c r="E411" s="21" t="s">
        <v>17</v>
      </c>
      <c r="F411" s="20" t="s">
        <v>18</v>
      </c>
      <c r="G411" s="20" t="s">
        <v>19</v>
      </c>
      <c r="H411" s="23">
        <v>45375</v>
      </c>
      <c r="I411" s="19">
        <f>IF(F411="是",VLOOKUP(G411,[87]Sheet2!A$1:C$65536,3,FALSE),VLOOKUP(G411,[87]Sheet2!A$1:B$65536,2,FALSE))</f>
        <v>600</v>
      </c>
      <c r="J411" s="24" t="s">
        <v>20</v>
      </c>
      <c r="K411" s="25"/>
    </row>
    <row r="412" s="6" customFormat="1" ht="31" customHeight="1" spans="1:11">
      <c r="A412" s="19">
        <v>408</v>
      </c>
      <c r="B412" s="20" t="s">
        <v>411</v>
      </c>
      <c r="C412" s="20" t="s">
        <v>417</v>
      </c>
      <c r="D412" s="20" t="s">
        <v>473</v>
      </c>
      <c r="E412" s="21" t="s">
        <v>17</v>
      </c>
      <c r="F412" s="20" t="s">
        <v>18</v>
      </c>
      <c r="G412" s="20" t="s">
        <v>19</v>
      </c>
      <c r="H412" s="23">
        <v>45375</v>
      </c>
      <c r="I412" s="19">
        <f>IF(F412="是",VLOOKUP(G412,[88]Sheet2!A$1:C$65536,3,FALSE),VLOOKUP(G412,[88]Sheet2!A$1:B$65536,2,FALSE))</f>
        <v>600</v>
      </c>
      <c r="J412" s="24" t="s">
        <v>20</v>
      </c>
      <c r="K412" s="25"/>
    </row>
    <row r="413" s="6" customFormat="1" ht="31" customHeight="1" spans="1:11">
      <c r="A413" s="19">
        <v>409</v>
      </c>
      <c r="B413" s="20" t="s">
        <v>411</v>
      </c>
      <c r="C413" s="20" t="s">
        <v>417</v>
      </c>
      <c r="D413" s="20" t="s">
        <v>474</v>
      </c>
      <c r="E413" s="21" t="s">
        <v>17</v>
      </c>
      <c r="F413" s="20" t="s">
        <v>18</v>
      </c>
      <c r="G413" s="20" t="s">
        <v>19</v>
      </c>
      <c r="H413" s="23">
        <v>45347</v>
      </c>
      <c r="I413" s="19">
        <v>600</v>
      </c>
      <c r="J413" s="24" t="s">
        <v>20</v>
      </c>
      <c r="K413" s="25"/>
    </row>
    <row r="414" s="6" customFormat="1" ht="31" customHeight="1" spans="1:11">
      <c r="A414" s="19">
        <v>410</v>
      </c>
      <c r="B414" s="20" t="s">
        <v>411</v>
      </c>
      <c r="C414" s="20" t="s">
        <v>417</v>
      </c>
      <c r="D414" s="20" t="s">
        <v>475</v>
      </c>
      <c r="E414" s="21" t="s">
        <v>17</v>
      </c>
      <c r="F414" s="20" t="s">
        <v>18</v>
      </c>
      <c r="G414" s="20" t="s">
        <v>19</v>
      </c>
      <c r="H414" s="23">
        <v>45377</v>
      </c>
      <c r="I414" s="19">
        <v>600</v>
      </c>
      <c r="J414" s="24" t="s">
        <v>20</v>
      </c>
      <c r="K414" s="25"/>
    </row>
    <row r="415" s="6" customFormat="1" ht="31" customHeight="1" spans="1:11">
      <c r="A415" s="19">
        <v>411</v>
      </c>
      <c r="B415" s="20" t="s">
        <v>411</v>
      </c>
      <c r="C415" s="20" t="s">
        <v>417</v>
      </c>
      <c r="D415" s="20" t="s">
        <v>476</v>
      </c>
      <c r="E415" s="21" t="s">
        <v>17</v>
      </c>
      <c r="F415" s="20" t="s">
        <v>18</v>
      </c>
      <c r="G415" s="20" t="s">
        <v>19</v>
      </c>
      <c r="H415" s="23">
        <v>45378</v>
      </c>
      <c r="I415" s="19">
        <v>600</v>
      </c>
      <c r="J415" s="24" t="s">
        <v>20</v>
      </c>
      <c r="K415" s="25"/>
    </row>
    <row r="416" s="6" customFormat="1" ht="31" customHeight="1" spans="1:11">
      <c r="A416" s="19">
        <v>412</v>
      </c>
      <c r="B416" s="20" t="s">
        <v>411</v>
      </c>
      <c r="C416" s="20" t="s">
        <v>417</v>
      </c>
      <c r="D416" s="20" t="s">
        <v>477</v>
      </c>
      <c r="E416" s="21" t="s">
        <v>17</v>
      </c>
      <c r="F416" s="20" t="s">
        <v>18</v>
      </c>
      <c r="G416" s="20" t="s">
        <v>19</v>
      </c>
      <c r="H416" s="23">
        <v>45470</v>
      </c>
      <c r="I416" s="19">
        <f>IF(F416="是",VLOOKUP(G416,[151]Sheet2!A:C,3,FALSE),VLOOKUP(G416,[151]Sheet2!A:B,2,FALSE))</f>
        <v>600</v>
      </c>
      <c r="J416" s="24" t="s">
        <v>20</v>
      </c>
      <c r="K416" s="25"/>
    </row>
    <row r="417" s="6" customFormat="1" ht="31" customHeight="1" spans="1:11">
      <c r="A417" s="19">
        <v>413</v>
      </c>
      <c r="B417" s="20" t="s">
        <v>411</v>
      </c>
      <c r="C417" s="20" t="s">
        <v>417</v>
      </c>
      <c r="D417" s="20" t="s">
        <v>478</v>
      </c>
      <c r="E417" s="21" t="s">
        <v>17</v>
      </c>
      <c r="F417" s="20" t="s">
        <v>18</v>
      </c>
      <c r="G417" s="20" t="s">
        <v>19</v>
      </c>
      <c r="H417" s="23" t="s">
        <v>446</v>
      </c>
      <c r="I417" s="19">
        <f>IF(F417="是",VLOOKUP(G417,[152]Sheet2!A:C,3,FALSE),VLOOKUP(G417,[152]Sheet2!A:B,2,FALSE))</f>
        <v>600</v>
      </c>
      <c r="J417" s="24" t="s">
        <v>20</v>
      </c>
      <c r="K417" s="25"/>
    </row>
    <row r="418" s="6" customFormat="1" ht="31" customHeight="1" spans="1:11">
      <c r="A418" s="19">
        <v>414</v>
      </c>
      <c r="B418" s="20" t="s">
        <v>411</v>
      </c>
      <c r="C418" s="20" t="s">
        <v>417</v>
      </c>
      <c r="D418" s="20" t="s">
        <v>479</v>
      </c>
      <c r="E418" s="21" t="s">
        <v>17</v>
      </c>
      <c r="F418" s="20" t="s">
        <v>18</v>
      </c>
      <c r="G418" s="20" t="s">
        <v>19</v>
      </c>
      <c r="H418" s="23">
        <v>45323</v>
      </c>
      <c r="I418" s="19">
        <f>IF(F418="是",VLOOKUP(G418,[153]Sheet2!A:C,3,FALSE),VLOOKUP(G418,[153]Sheet2!A:B,2,FALSE))</f>
        <v>600</v>
      </c>
      <c r="J418" s="24" t="s">
        <v>20</v>
      </c>
      <c r="K418" s="25"/>
    </row>
    <row r="419" s="6" customFormat="1" ht="31" customHeight="1" spans="1:11">
      <c r="A419" s="19">
        <v>415</v>
      </c>
      <c r="B419" s="20" t="s">
        <v>411</v>
      </c>
      <c r="C419" s="20" t="s">
        <v>480</v>
      </c>
      <c r="D419" s="20" t="s">
        <v>481</v>
      </c>
      <c r="E419" s="21" t="s">
        <v>17</v>
      </c>
      <c r="F419" s="20" t="s">
        <v>18</v>
      </c>
      <c r="G419" s="20" t="s">
        <v>19</v>
      </c>
      <c r="H419" s="23">
        <v>45292</v>
      </c>
      <c r="I419" s="19">
        <f>IF(F419="是",VLOOKUP(G419,[90]Sheet2!A:C,3,FALSE),VLOOKUP(G419,[90]Sheet2!A:B,2,FALSE))</f>
        <v>600</v>
      </c>
      <c r="J419" s="24" t="s">
        <v>20</v>
      </c>
      <c r="K419" s="25"/>
    </row>
    <row r="420" s="6" customFormat="1" ht="31" customHeight="1" spans="1:11">
      <c r="A420" s="19">
        <v>416</v>
      </c>
      <c r="B420" s="20" t="s">
        <v>411</v>
      </c>
      <c r="C420" s="20" t="s">
        <v>480</v>
      </c>
      <c r="D420" s="20" t="s">
        <v>482</v>
      </c>
      <c r="E420" s="21" t="s">
        <v>17</v>
      </c>
      <c r="F420" s="20" t="s">
        <v>18</v>
      </c>
      <c r="G420" s="20" t="s">
        <v>19</v>
      </c>
      <c r="H420" s="23">
        <v>45292</v>
      </c>
      <c r="I420" s="19">
        <f>IF(F420="是",VLOOKUP(G420,[90]Sheet2!A:C,3,FALSE),VLOOKUP(G420,[90]Sheet2!A:B,2,FALSE))</f>
        <v>600</v>
      </c>
      <c r="J420" s="24" t="s">
        <v>20</v>
      </c>
      <c r="K420" s="25"/>
    </row>
    <row r="421" s="6" customFormat="1" ht="31" customHeight="1" spans="1:11">
      <c r="A421" s="19">
        <v>417</v>
      </c>
      <c r="B421" s="20" t="s">
        <v>411</v>
      </c>
      <c r="C421" s="20" t="s">
        <v>480</v>
      </c>
      <c r="D421" s="20" t="s">
        <v>483</v>
      </c>
      <c r="E421" s="21" t="s">
        <v>17</v>
      </c>
      <c r="F421" s="20" t="s">
        <v>18</v>
      </c>
      <c r="G421" s="20" t="s">
        <v>19</v>
      </c>
      <c r="H421" s="23">
        <v>45339</v>
      </c>
      <c r="I421" s="19">
        <f>IF(F421="是",VLOOKUP(G421,[90]Sheet2!A:C,3,FALSE),VLOOKUP(G421,[90]Sheet2!A:B,2,FALSE))</f>
        <v>600</v>
      </c>
      <c r="J421" s="24" t="s">
        <v>20</v>
      </c>
      <c r="K421" s="25"/>
    </row>
    <row r="422" s="6" customFormat="1" ht="31" customHeight="1" spans="1:11">
      <c r="A422" s="19">
        <v>418</v>
      </c>
      <c r="B422" s="20" t="s">
        <v>411</v>
      </c>
      <c r="C422" s="20" t="s">
        <v>480</v>
      </c>
      <c r="D422" s="20" t="s">
        <v>484</v>
      </c>
      <c r="E422" s="21" t="s">
        <v>17</v>
      </c>
      <c r="F422" s="20" t="s">
        <v>18</v>
      </c>
      <c r="G422" s="20" t="s">
        <v>19</v>
      </c>
      <c r="H422" s="23">
        <v>45413</v>
      </c>
      <c r="I422" s="19">
        <f>IF(F422="是",VLOOKUP(G422,[90]Sheet2!A:C,3,FALSE),VLOOKUP(G422,[90]Sheet2!A:B,2,FALSE))</f>
        <v>600</v>
      </c>
      <c r="J422" s="24" t="s">
        <v>20</v>
      </c>
      <c r="K422" s="25"/>
    </row>
    <row r="423" s="6" customFormat="1" ht="31" customHeight="1" spans="1:11">
      <c r="A423" s="19">
        <v>419</v>
      </c>
      <c r="B423" s="20" t="s">
        <v>411</v>
      </c>
      <c r="C423" s="20" t="s">
        <v>480</v>
      </c>
      <c r="D423" s="20" t="s">
        <v>485</v>
      </c>
      <c r="E423" s="21" t="s">
        <v>17</v>
      </c>
      <c r="F423" s="20" t="s">
        <v>18</v>
      </c>
      <c r="G423" s="20" t="s">
        <v>19</v>
      </c>
      <c r="H423" s="23">
        <v>45338</v>
      </c>
      <c r="I423" s="19">
        <f>IF(F423="是",VLOOKUP(G423,[90]Sheet2!A:C,3,FALSE),VLOOKUP(G423,[90]Sheet2!A:B,2,FALSE))</f>
        <v>600</v>
      </c>
      <c r="J423" s="24" t="s">
        <v>20</v>
      </c>
      <c r="K423" s="25"/>
    </row>
    <row r="424" s="6" customFormat="1" ht="31" customHeight="1" spans="1:11">
      <c r="A424" s="19">
        <v>420</v>
      </c>
      <c r="B424" s="20" t="s">
        <v>411</v>
      </c>
      <c r="C424" s="20" t="s">
        <v>480</v>
      </c>
      <c r="D424" s="20" t="s">
        <v>486</v>
      </c>
      <c r="E424" s="21" t="s">
        <v>17</v>
      </c>
      <c r="F424" s="20" t="s">
        <v>18</v>
      </c>
      <c r="G424" s="20" t="s">
        <v>19</v>
      </c>
      <c r="H424" s="23">
        <v>45339</v>
      </c>
      <c r="I424" s="19">
        <f>IF(F424="是",VLOOKUP(G424,[90]Sheet2!A:C,3,FALSE),VLOOKUP(G424,[90]Sheet2!A:B,2,FALSE))</f>
        <v>600</v>
      </c>
      <c r="J424" s="24" t="s">
        <v>20</v>
      </c>
      <c r="K424" s="25"/>
    </row>
    <row r="425" s="6" customFormat="1" ht="31" customHeight="1" spans="1:11">
      <c r="A425" s="19">
        <v>421</v>
      </c>
      <c r="B425" s="20" t="s">
        <v>411</v>
      </c>
      <c r="C425" s="20" t="s">
        <v>480</v>
      </c>
      <c r="D425" s="20" t="s">
        <v>487</v>
      </c>
      <c r="E425" s="21" t="s">
        <v>17</v>
      </c>
      <c r="F425" s="20" t="s">
        <v>18</v>
      </c>
      <c r="G425" s="20" t="s">
        <v>32</v>
      </c>
      <c r="H425" s="23">
        <v>45292</v>
      </c>
      <c r="I425" s="19">
        <f>IF(F425="是",VLOOKUP(G425,[89]Sheet2!A:C,3,FALSE),VLOOKUP(G425,[89]Sheet2!A:B,2,FALSE))</f>
        <v>800</v>
      </c>
      <c r="J425" s="24" t="s">
        <v>20</v>
      </c>
      <c r="K425" s="25"/>
    </row>
    <row r="426" s="6" customFormat="1" ht="31" customHeight="1" spans="1:11">
      <c r="A426" s="19">
        <v>422</v>
      </c>
      <c r="B426" s="20" t="s">
        <v>411</v>
      </c>
      <c r="C426" s="20" t="s">
        <v>480</v>
      </c>
      <c r="D426" s="20" t="s">
        <v>488</v>
      </c>
      <c r="E426" s="21" t="s">
        <v>17</v>
      </c>
      <c r="F426" s="20" t="s">
        <v>18</v>
      </c>
      <c r="G426" s="20" t="s">
        <v>32</v>
      </c>
      <c r="H426" s="23">
        <v>45292</v>
      </c>
      <c r="I426" s="19">
        <f>IF(F426="是",VLOOKUP(G426,[89]Sheet2!A:C,3,FALSE),VLOOKUP(G426,[89]Sheet2!A:B,2,FALSE))</f>
        <v>800</v>
      </c>
      <c r="J426" s="24" t="s">
        <v>20</v>
      </c>
      <c r="K426" s="25"/>
    </row>
    <row r="427" s="6" customFormat="1" ht="31" customHeight="1" spans="1:11">
      <c r="A427" s="19">
        <v>423</v>
      </c>
      <c r="B427" s="20" t="s">
        <v>411</v>
      </c>
      <c r="C427" s="20" t="s">
        <v>489</v>
      </c>
      <c r="D427" s="20" t="s">
        <v>490</v>
      </c>
      <c r="E427" s="21" t="s">
        <v>17</v>
      </c>
      <c r="F427" s="20" t="s">
        <v>18</v>
      </c>
      <c r="G427" s="20" t="s">
        <v>19</v>
      </c>
      <c r="H427" s="23" t="s">
        <v>491</v>
      </c>
      <c r="I427" s="19">
        <f>IF(F427="是",VLOOKUP(G427,[91]Sheet2!A:C,3,FALSE),VLOOKUP(G427,[91]Sheet2!A:B,2,FALSE))</f>
        <v>600</v>
      </c>
      <c r="J427" s="24" t="s">
        <v>20</v>
      </c>
      <c r="K427" s="25"/>
    </row>
    <row r="428" s="6" customFormat="1" ht="31" customHeight="1" spans="1:11">
      <c r="A428" s="19">
        <v>424</v>
      </c>
      <c r="B428" s="20" t="s">
        <v>411</v>
      </c>
      <c r="C428" s="20" t="s">
        <v>489</v>
      </c>
      <c r="D428" s="20" t="s">
        <v>492</v>
      </c>
      <c r="E428" s="21" t="s">
        <v>17</v>
      </c>
      <c r="F428" s="20" t="s">
        <v>18</v>
      </c>
      <c r="G428" s="20" t="s">
        <v>19</v>
      </c>
      <c r="H428" s="23" t="s">
        <v>491</v>
      </c>
      <c r="I428" s="19">
        <f>IF(F428="是",VLOOKUP(G428,[91]Sheet2!A:C,3,FALSE),VLOOKUP(G428,[91]Sheet2!A:B,2,FALSE))</f>
        <v>600</v>
      </c>
      <c r="J428" s="24" t="s">
        <v>20</v>
      </c>
      <c r="K428" s="25"/>
    </row>
    <row r="429" s="6" customFormat="1" ht="31" customHeight="1" spans="1:11">
      <c r="A429" s="19">
        <v>425</v>
      </c>
      <c r="B429" s="20" t="s">
        <v>411</v>
      </c>
      <c r="C429" s="20" t="s">
        <v>489</v>
      </c>
      <c r="D429" s="20" t="s">
        <v>493</v>
      </c>
      <c r="E429" s="21" t="s">
        <v>17</v>
      </c>
      <c r="F429" s="20" t="s">
        <v>18</v>
      </c>
      <c r="G429" s="20" t="s">
        <v>19</v>
      </c>
      <c r="H429" s="23" t="s">
        <v>491</v>
      </c>
      <c r="I429" s="19">
        <f>IF(F429="是",VLOOKUP(G429,[91]Sheet2!A:C,3,FALSE),VLOOKUP(G429,[91]Sheet2!A:B,2,FALSE))</f>
        <v>600</v>
      </c>
      <c r="J429" s="24" t="s">
        <v>20</v>
      </c>
      <c r="K429" s="25"/>
    </row>
    <row r="430" s="6" customFormat="1" ht="31" customHeight="1" spans="1:11">
      <c r="A430" s="19">
        <v>426</v>
      </c>
      <c r="B430" s="20" t="s">
        <v>411</v>
      </c>
      <c r="C430" s="20" t="s">
        <v>489</v>
      </c>
      <c r="D430" s="20" t="s">
        <v>494</v>
      </c>
      <c r="E430" s="21" t="s">
        <v>17</v>
      </c>
      <c r="F430" s="20" t="s">
        <v>18</v>
      </c>
      <c r="G430" s="20" t="s">
        <v>98</v>
      </c>
      <c r="H430" s="23" t="s">
        <v>238</v>
      </c>
      <c r="I430" s="19">
        <f>IF(F430="是",VLOOKUP(G430,[91]Sheet2!A:C,3,FALSE),VLOOKUP(G430,[91]Sheet2!A:B,2,FALSE))</f>
        <v>800</v>
      </c>
      <c r="J430" s="24" t="s">
        <v>20</v>
      </c>
      <c r="K430" s="25"/>
    </row>
    <row r="431" s="6" customFormat="1" ht="31" customHeight="1" spans="1:11">
      <c r="A431" s="19">
        <v>427</v>
      </c>
      <c r="B431" s="20" t="s">
        <v>411</v>
      </c>
      <c r="C431" s="20" t="s">
        <v>489</v>
      </c>
      <c r="D431" s="20" t="s">
        <v>495</v>
      </c>
      <c r="E431" s="21" t="s">
        <v>17</v>
      </c>
      <c r="F431" s="20" t="s">
        <v>18</v>
      </c>
      <c r="G431" s="20" t="s">
        <v>98</v>
      </c>
      <c r="H431" s="23" t="s">
        <v>401</v>
      </c>
      <c r="I431" s="19">
        <f>IF(F431="是",VLOOKUP(G431,[91]Sheet2!A:C,3,FALSE),VLOOKUP(G431,[91]Sheet2!A:B,2,FALSE))</f>
        <v>800</v>
      </c>
      <c r="J431" s="24" t="s">
        <v>20</v>
      </c>
      <c r="K431" s="25"/>
    </row>
    <row r="432" s="6" customFormat="1" ht="31" customHeight="1" spans="1:11">
      <c r="A432" s="19">
        <v>428</v>
      </c>
      <c r="B432" s="20" t="s">
        <v>411</v>
      </c>
      <c r="C432" s="20" t="s">
        <v>489</v>
      </c>
      <c r="D432" s="20" t="s">
        <v>496</v>
      </c>
      <c r="E432" s="21" t="s">
        <v>17</v>
      </c>
      <c r="F432" s="20" t="s">
        <v>18</v>
      </c>
      <c r="G432" s="20" t="s">
        <v>98</v>
      </c>
      <c r="H432" s="23" t="s">
        <v>401</v>
      </c>
      <c r="I432" s="19">
        <f>IF(F432="是",VLOOKUP(G432,[91]Sheet2!A:C,3,FALSE),VLOOKUP(G432,[91]Sheet2!A:B,2,FALSE))</f>
        <v>800</v>
      </c>
      <c r="J432" s="24" t="s">
        <v>20</v>
      </c>
      <c r="K432" s="25"/>
    </row>
    <row r="433" s="6" customFormat="1" ht="31" customHeight="1" spans="1:11">
      <c r="A433" s="19">
        <v>429</v>
      </c>
      <c r="B433" s="20" t="s">
        <v>411</v>
      </c>
      <c r="C433" s="20" t="s">
        <v>489</v>
      </c>
      <c r="D433" s="20" t="s">
        <v>497</v>
      </c>
      <c r="E433" s="21" t="s">
        <v>17</v>
      </c>
      <c r="F433" s="20" t="s">
        <v>18</v>
      </c>
      <c r="G433" s="20" t="s">
        <v>19</v>
      </c>
      <c r="H433" s="23" t="s">
        <v>238</v>
      </c>
      <c r="I433" s="19">
        <f>IF(F433="是",VLOOKUP(G433,[91]Sheet2!A:C,3,FALSE),VLOOKUP(G433,[91]Sheet2!A:B,2,FALSE))</f>
        <v>600</v>
      </c>
      <c r="J433" s="24" t="s">
        <v>20</v>
      </c>
      <c r="K433" s="25"/>
    </row>
    <row r="434" s="6" customFormat="1" ht="31" customHeight="1" spans="1:11">
      <c r="A434" s="19">
        <v>430</v>
      </c>
      <c r="B434" s="20" t="s">
        <v>411</v>
      </c>
      <c r="C434" s="20" t="s">
        <v>489</v>
      </c>
      <c r="D434" s="20" t="s">
        <v>498</v>
      </c>
      <c r="E434" s="21" t="s">
        <v>17</v>
      </c>
      <c r="F434" s="20" t="s">
        <v>18</v>
      </c>
      <c r="G434" s="20" t="s">
        <v>19</v>
      </c>
      <c r="H434" s="23">
        <v>45352</v>
      </c>
      <c r="I434" s="19">
        <f>IF(F434="是",VLOOKUP(G434,[91]Sheet2!A:C,3,FALSE),VLOOKUP(G434,[91]Sheet2!A:B,2,FALSE))</f>
        <v>600</v>
      </c>
      <c r="J434" s="24" t="s">
        <v>20</v>
      </c>
      <c r="K434" s="25"/>
    </row>
    <row r="435" s="6" customFormat="1" ht="31" customHeight="1" spans="1:11">
      <c r="A435" s="19">
        <v>431</v>
      </c>
      <c r="B435" s="20" t="s">
        <v>411</v>
      </c>
      <c r="C435" s="20" t="s">
        <v>489</v>
      </c>
      <c r="D435" s="20" t="s">
        <v>499</v>
      </c>
      <c r="E435" s="21" t="s">
        <v>17</v>
      </c>
      <c r="F435" s="20" t="s">
        <v>18</v>
      </c>
      <c r="G435" s="20" t="s">
        <v>19</v>
      </c>
      <c r="H435" s="23" t="s">
        <v>446</v>
      </c>
      <c r="I435" s="19">
        <f>IF(F435="是",VLOOKUP(G435,[91]Sheet2!A:C,3,FALSE),VLOOKUP(G435,[91]Sheet2!A:B,2,FALSE))</f>
        <v>600</v>
      </c>
      <c r="J435" s="24" t="s">
        <v>20</v>
      </c>
      <c r="K435" s="25"/>
    </row>
    <row r="436" s="6" customFormat="1" ht="31" customHeight="1" spans="1:11">
      <c r="A436" s="19">
        <v>432</v>
      </c>
      <c r="B436" s="20" t="s">
        <v>411</v>
      </c>
      <c r="C436" s="20" t="s">
        <v>489</v>
      </c>
      <c r="D436" s="20" t="s">
        <v>500</v>
      </c>
      <c r="E436" s="21" t="s">
        <v>17</v>
      </c>
      <c r="F436" s="20" t="s">
        <v>18</v>
      </c>
      <c r="G436" s="20" t="s">
        <v>98</v>
      </c>
      <c r="H436" s="23" t="s">
        <v>238</v>
      </c>
      <c r="I436" s="19">
        <f>IF(F436="是",VLOOKUP(G436,[91]Sheet2!A:C,3,FALSE),VLOOKUP(G436,[91]Sheet2!A:B,2,FALSE))</f>
        <v>800</v>
      </c>
      <c r="J436" s="24" t="s">
        <v>20</v>
      </c>
      <c r="K436" s="25"/>
    </row>
    <row r="437" s="6" customFormat="1" ht="31" customHeight="1" spans="1:11">
      <c r="A437" s="19">
        <v>433</v>
      </c>
      <c r="B437" s="20" t="s">
        <v>411</v>
      </c>
      <c r="C437" s="20" t="s">
        <v>489</v>
      </c>
      <c r="D437" s="20" t="s">
        <v>501</v>
      </c>
      <c r="E437" s="21" t="s">
        <v>17</v>
      </c>
      <c r="F437" s="20" t="s">
        <v>18</v>
      </c>
      <c r="G437" s="20" t="s">
        <v>19</v>
      </c>
      <c r="H437" s="23" t="s">
        <v>238</v>
      </c>
      <c r="I437" s="19">
        <v>600</v>
      </c>
      <c r="J437" s="24" t="s">
        <v>20</v>
      </c>
      <c r="K437" s="25"/>
    </row>
    <row r="438" s="6" customFormat="1" ht="31" customHeight="1" spans="1:11">
      <c r="A438" s="19">
        <v>434</v>
      </c>
      <c r="B438" s="20" t="s">
        <v>411</v>
      </c>
      <c r="C438" s="20" t="s">
        <v>489</v>
      </c>
      <c r="D438" s="20" t="s">
        <v>502</v>
      </c>
      <c r="E438" s="21" t="s">
        <v>17</v>
      </c>
      <c r="F438" s="20" t="s">
        <v>18</v>
      </c>
      <c r="G438" s="20" t="s">
        <v>19</v>
      </c>
      <c r="H438" s="23" t="s">
        <v>491</v>
      </c>
      <c r="I438" s="19">
        <v>600</v>
      </c>
      <c r="J438" s="24" t="s">
        <v>20</v>
      </c>
      <c r="K438" s="25"/>
    </row>
    <row r="439" s="6" customFormat="1" ht="31" customHeight="1" spans="1:11">
      <c r="A439" s="19">
        <v>435</v>
      </c>
      <c r="B439" s="20" t="s">
        <v>411</v>
      </c>
      <c r="C439" s="20" t="s">
        <v>489</v>
      </c>
      <c r="D439" s="20" t="s">
        <v>503</v>
      </c>
      <c r="E439" s="21" t="s">
        <v>17</v>
      </c>
      <c r="F439" s="20" t="s">
        <v>18</v>
      </c>
      <c r="G439" s="20" t="s">
        <v>98</v>
      </c>
      <c r="H439" s="23" t="s">
        <v>446</v>
      </c>
      <c r="I439" s="19">
        <v>800</v>
      </c>
      <c r="J439" s="24" t="s">
        <v>20</v>
      </c>
      <c r="K439" s="25"/>
    </row>
    <row r="440" s="6" customFormat="1" ht="31" customHeight="1" spans="1:11">
      <c r="A440" s="19">
        <v>436</v>
      </c>
      <c r="B440" s="20" t="s">
        <v>411</v>
      </c>
      <c r="C440" s="20" t="s">
        <v>489</v>
      </c>
      <c r="D440" s="20" t="s">
        <v>504</v>
      </c>
      <c r="E440" s="21" t="s">
        <v>17</v>
      </c>
      <c r="F440" s="20" t="s">
        <v>18</v>
      </c>
      <c r="G440" s="20" t="s">
        <v>32</v>
      </c>
      <c r="H440" s="23" t="s">
        <v>446</v>
      </c>
      <c r="I440" s="19">
        <v>800</v>
      </c>
      <c r="J440" s="24" t="s">
        <v>20</v>
      </c>
      <c r="K440" s="25"/>
    </row>
    <row r="441" s="6" customFormat="1" ht="31" customHeight="1" spans="1:11">
      <c r="A441" s="19">
        <v>437</v>
      </c>
      <c r="B441" s="20" t="s">
        <v>411</v>
      </c>
      <c r="C441" s="20" t="s">
        <v>505</v>
      </c>
      <c r="D441" s="20" t="s">
        <v>506</v>
      </c>
      <c r="E441" s="21" t="s">
        <v>17</v>
      </c>
      <c r="F441" s="20" t="s">
        <v>18</v>
      </c>
      <c r="G441" s="20" t="s">
        <v>19</v>
      </c>
      <c r="H441" s="23">
        <v>45292</v>
      </c>
      <c r="I441" s="19">
        <f>IF(F441="是",VLOOKUP(G441,[92]Sheet2!A:C,3,FALSE),VLOOKUP(G441,[92]Sheet2!A:B,2,FALSE))</f>
        <v>600</v>
      </c>
      <c r="J441" s="24" t="s">
        <v>20</v>
      </c>
      <c r="K441" s="25"/>
    </row>
    <row r="442" s="6" customFormat="1" ht="31" customHeight="1" spans="1:11">
      <c r="A442" s="19">
        <v>438</v>
      </c>
      <c r="B442" s="20" t="s">
        <v>411</v>
      </c>
      <c r="C442" s="20" t="s">
        <v>505</v>
      </c>
      <c r="D442" s="20" t="s">
        <v>507</v>
      </c>
      <c r="E442" s="21" t="s">
        <v>17</v>
      </c>
      <c r="F442" s="20" t="s">
        <v>18</v>
      </c>
      <c r="G442" s="20" t="s">
        <v>19</v>
      </c>
      <c r="H442" s="23">
        <v>45292</v>
      </c>
      <c r="I442" s="19">
        <f>IF(F442="是",VLOOKUP(G442,[92]Sheet2!A:C,3,FALSE),VLOOKUP(G442,[92]Sheet2!A:B,2,FALSE))</f>
        <v>600</v>
      </c>
      <c r="J442" s="24" t="s">
        <v>20</v>
      </c>
      <c r="K442" s="25"/>
    </row>
    <row r="443" s="6" customFormat="1" ht="31" customHeight="1" spans="1:11">
      <c r="A443" s="19">
        <v>439</v>
      </c>
      <c r="B443" s="20" t="s">
        <v>411</v>
      </c>
      <c r="C443" s="20" t="s">
        <v>505</v>
      </c>
      <c r="D443" s="20" t="s">
        <v>508</v>
      </c>
      <c r="E443" s="21" t="s">
        <v>17</v>
      </c>
      <c r="F443" s="20" t="s">
        <v>18</v>
      </c>
      <c r="G443" s="20" t="s">
        <v>19</v>
      </c>
      <c r="H443" s="23">
        <v>45323</v>
      </c>
      <c r="I443" s="19">
        <f>IF(F443="是",VLOOKUP(G443,[92]Sheet2!A:C,3,FALSE),VLOOKUP(G443,[92]Sheet2!A:B,2,FALSE))</f>
        <v>600</v>
      </c>
      <c r="J443" s="24" t="s">
        <v>20</v>
      </c>
      <c r="K443" s="25"/>
    </row>
    <row r="444" s="6" customFormat="1" ht="31" customHeight="1" spans="1:11">
      <c r="A444" s="19">
        <v>440</v>
      </c>
      <c r="B444" s="20" t="s">
        <v>411</v>
      </c>
      <c r="C444" s="20" t="s">
        <v>505</v>
      </c>
      <c r="D444" s="20" t="s">
        <v>509</v>
      </c>
      <c r="E444" s="21" t="s">
        <v>17</v>
      </c>
      <c r="F444" s="20" t="s">
        <v>18</v>
      </c>
      <c r="G444" s="20" t="s">
        <v>19</v>
      </c>
      <c r="H444" s="23">
        <v>45444</v>
      </c>
      <c r="I444" s="19">
        <f>IF(F444="是",VLOOKUP(G444,[92]Sheet2!A:C,3,FALSE),VLOOKUP(G444,[92]Sheet2!A:B,2,FALSE))</f>
        <v>600</v>
      </c>
      <c r="J444" s="24" t="s">
        <v>20</v>
      </c>
      <c r="K444" s="25"/>
    </row>
    <row r="445" s="6" customFormat="1" ht="31" customHeight="1" spans="1:11">
      <c r="A445" s="19">
        <v>441</v>
      </c>
      <c r="B445" s="20" t="s">
        <v>411</v>
      </c>
      <c r="C445" s="20" t="s">
        <v>505</v>
      </c>
      <c r="D445" s="20" t="s">
        <v>510</v>
      </c>
      <c r="E445" s="21" t="s">
        <v>17</v>
      </c>
      <c r="F445" s="20" t="s">
        <v>18</v>
      </c>
      <c r="G445" s="20" t="s">
        <v>19</v>
      </c>
      <c r="H445" s="23">
        <v>45292</v>
      </c>
      <c r="I445" s="19">
        <f>IF(F445="是",VLOOKUP(G445,[92]Sheet2!A:C,3,FALSE),VLOOKUP(G445,[92]Sheet2!A:B,2,FALSE))</f>
        <v>600</v>
      </c>
      <c r="J445" s="24" t="s">
        <v>20</v>
      </c>
      <c r="K445" s="25"/>
    </row>
    <row r="446" s="6" customFormat="1" ht="31" customHeight="1" spans="1:11">
      <c r="A446" s="19">
        <v>442</v>
      </c>
      <c r="B446" s="20" t="s">
        <v>411</v>
      </c>
      <c r="C446" s="20" t="s">
        <v>505</v>
      </c>
      <c r="D446" s="20" t="s">
        <v>511</v>
      </c>
      <c r="E446" s="21" t="s">
        <v>17</v>
      </c>
      <c r="F446" s="20" t="s">
        <v>18</v>
      </c>
      <c r="G446" s="20" t="s">
        <v>19</v>
      </c>
      <c r="H446" s="23">
        <v>45292</v>
      </c>
      <c r="I446" s="19">
        <f>IF(F446="是",VLOOKUP(G446,[92]Sheet2!A:C,3,FALSE),VLOOKUP(G446,[92]Sheet2!A:B,2,FALSE))</f>
        <v>600</v>
      </c>
      <c r="J446" s="24" t="s">
        <v>20</v>
      </c>
      <c r="K446" s="25"/>
    </row>
    <row r="447" s="6" customFormat="1" ht="31" customHeight="1" spans="1:11">
      <c r="A447" s="19">
        <v>443</v>
      </c>
      <c r="B447" s="20" t="s">
        <v>411</v>
      </c>
      <c r="C447" s="20" t="s">
        <v>505</v>
      </c>
      <c r="D447" s="20" t="s">
        <v>512</v>
      </c>
      <c r="E447" s="21" t="s">
        <v>17</v>
      </c>
      <c r="F447" s="20" t="s">
        <v>18</v>
      </c>
      <c r="G447" s="20" t="s">
        <v>19</v>
      </c>
      <c r="H447" s="23">
        <v>45292</v>
      </c>
      <c r="I447" s="19">
        <f>IF(F447="是",VLOOKUP(G447,[92]Sheet2!A:C,3,FALSE),VLOOKUP(G447,[92]Sheet2!A:B,2,FALSE))</f>
        <v>600</v>
      </c>
      <c r="J447" s="24" t="s">
        <v>20</v>
      </c>
      <c r="K447" s="25"/>
    </row>
    <row r="448" s="6" customFormat="1" ht="31" customHeight="1" spans="1:11">
      <c r="A448" s="19">
        <v>444</v>
      </c>
      <c r="B448" s="20" t="s">
        <v>411</v>
      </c>
      <c r="C448" s="20" t="s">
        <v>505</v>
      </c>
      <c r="D448" s="20" t="s">
        <v>513</v>
      </c>
      <c r="E448" s="21" t="s">
        <v>17</v>
      </c>
      <c r="F448" s="20" t="s">
        <v>18</v>
      </c>
      <c r="G448" s="20" t="s">
        <v>19</v>
      </c>
      <c r="H448" s="23">
        <v>45292</v>
      </c>
      <c r="I448" s="19">
        <f>IF(F448="是",VLOOKUP(G448,[92]Sheet2!A:C,3,FALSE),VLOOKUP(G448,[92]Sheet2!A:B,2,FALSE))</f>
        <v>600</v>
      </c>
      <c r="J448" s="24" t="s">
        <v>20</v>
      </c>
      <c r="K448" s="25"/>
    </row>
    <row r="449" s="6" customFormat="1" ht="31" customHeight="1" spans="1:11">
      <c r="A449" s="19">
        <v>445</v>
      </c>
      <c r="B449" s="20" t="s">
        <v>411</v>
      </c>
      <c r="C449" s="20" t="s">
        <v>505</v>
      </c>
      <c r="D449" s="20" t="s">
        <v>514</v>
      </c>
      <c r="E449" s="21" t="s">
        <v>17</v>
      </c>
      <c r="F449" s="20" t="s">
        <v>18</v>
      </c>
      <c r="G449" s="20" t="s">
        <v>19</v>
      </c>
      <c r="H449" s="23">
        <v>45352</v>
      </c>
      <c r="I449" s="19">
        <v>600</v>
      </c>
      <c r="J449" s="24" t="s">
        <v>20</v>
      </c>
      <c r="K449" s="25"/>
    </row>
    <row r="450" s="6" customFormat="1" ht="31" customHeight="1" spans="1:11">
      <c r="A450" s="19">
        <v>446</v>
      </c>
      <c r="B450" s="20" t="s">
        <v>411</v>
      </c>
      <c r="C450" s="20" t="s">
        <v>505</v>
      </c>
      <c r="D450" s="20" t="s">
        <v>515</v>
      </c>
      <c r="E450" s="21" t="s">
        <v>17</v>
      </c>
      <c r="F450" s="20" t="s">
        <v>18</v>
      </c>
      <c r="G450" s="20" t="s">
        <v>19</v>
      </c>
      <c r="H450" s="23">
        <v>45292</v>
      </c>
      <c r="I450" s="19">
        <v>600</v>
      </c>
      <c r="J450" s="24" t="s">
        <v>20</v>
      </c>
      <c r="K450" s="25"/>
    </row>
    <row r="451" s="6" customFormat="1" ht="31" customHeight="1" spans="1:11">
      <c r="A451" s="19">
        <v>447</v>
      </c>
      <c r="B451" s="20" t="s">
        <v>411</v>
      </c>
      <c r="C451" s="20" t="s">
        <v>505</v>
      </c>
      <c r="D451" s="20" t="s">
        <v>516</v>
      </c>
      <c r="E451" s="21" t="s">
        <v>17</v>
      </c>
      <c r="F451" s="20" t="s">
        <v>18</v>
      </c>
      <c r="G451" s="20" t="s">
        <v>19</v>
      </c>
      <c r="H451" s="23">
        <v>45292</v>
      </c>
      <c r="I451" s="19">
        <v>600</v>
      </c>
      <c r="J451" s="24" t="s">
        <v>20</v>
      </c>
      <c r="K451" s="25"/>
    </row>
    <row r="452" s="6" customFormat="1" ht="31" customHeight="1" spans="1:11">
      <c r="A452" s="19">
        <v>448</v>
      </c>
      <c r="B452" s="20" t="s">
        <v>411</v>
      </c>
      <c r="C452" s="20" t="s">
        <v>505</v>
      </c>
      <c r="D452" s="20" t="s">
        <v>517</v>
      </c>
      <c r="E452" s="21" t="s">
        <v>17</v>
      </c>
      <c r="F452" s="20" t="s">
        <v>18</v>
      </c>
      <c r="G452" s="20" t="s">
        <v>19</v>
      </c>
      <c r="H452" s="23">
        <v>45292</v>
      </c>
      <c r="I452" s="19">
        <v>600</v>
      </c>
      <c r="J452" s="24" t="s">
        <v>20</v>
      </c>
      <c r="K452" s="25"/>
    </row>
    <row r="453" s="6" customFormat="1" ht="31" customHeight="1" spans="1:11">
      <c r="A453" s="19">
        <v>449</v>
      </c>
      <c r="B453" s="20" t="s">
        <v>411</v>
      </c>
      <c r="C453" s="20" t="s">
        <v>505</v>
      </c>
      <c r="D453" s="20" t="s">
        <v>518</v>
      </c>
      <c r="E453" s="21" t="s">
        <v>17</v>
      </c>
      <c r="F453" s="20" t="s">
        <v>18</v>
      </c>
      <c r="G453" s="20" t="s">
        <v>19</v>
      </c>
      <c r="H453" s="23">
        <v>45383</v>
      </c>
      <c r="I453" s="19">
        <v>600</v>
      </c>
      <c r="J453" s="24" t="s">
        <v>20</v>
      </c>
      <c r="K453" s="25"/>
    </row>
    <row r="454" s="6" customFormat="1" ht="31" customHeight="1" spans="1:11">
      <c r="A454" s="19">
        <v>450</v>
      </c>
      <c r="B454" s="20" t="s">
        <v>411</v>
      </c>
      <c r="C454" s="20" t="s">
        <v>505</v>
      </c>
      <c r="D454" s="20" t="s">
        <v>519</v>
      </c>
      <c r="E454" s="21" t="s">
        <v>17</v>
      </c>
      <c r="F454" s="20" t="s">
        <v>18</v>
      </c>
      <c r="G454" s="20" t="s">
        <v>19</v>
      </c>
      <c r="H454" s="23">
        <v>45323</v>
      </c>
      <c r="I454" s="19">
        <v>600</v>
      </c>
      <c r="J454" s="24" t="s">
        <v>20</v>
      </c>
      <c r="K454" s="25"/>
    </row>
    <row r="455" s="6" customFormat="1" ht="31" customHeight="1" spans="1:11">
      <c r="A455" s="19">
        <v>451</v>
      </c>
      <c r="B455" s="20" t="s">
        <v>411</v>
      </c>
      <c r="C455" s="20" t="s">
        <v>505</v>
      </c>
      <c r="D455" s="20" t="s">
        <v>520</v>
      </c>
      <c r="E455" s="21" t="s">
        <v>17</v>
      </c>
      <c r="F455" s="20" t="s">
        <v>18</v>
      </c>
      <c r="G455" s="20" t="s">
        <v>19</v>
      </c>
      <c r="H455" s="23">
        <v>45292</v>
      </c>
      <c r="I455" s="19">
        <v>600</v>
      </c>
      <c r="J455" s="24" t="s">
        <v>20</v>
      </c>
      <c r="K455" s="25"/>
    </row>
    <row r="456" s="6" customFormat="1" ht="31" customHeight="1" spans="1:11">
      <c r="A456" s="19">
        <v>452</v>
      </c>
      <c r="B456" s="20" t="s">
        <v>411</v>
      </c>
      <c r="C456" s="20" t="s">
        <v>505</v>
      </c>
      <c r="D456" s="20" t="s">
        <v>521</v>
      </c>
      <c r="E456" s="21" t="s">
        <v>17</v>
      </c>
      <c r="F456" s="20" t="s">
        <v>18</v>
      </c>
      <c r="G456" s="20" t="s">
        <v>55</v>
      </c>
      <c r="H456" s="23">
        <v>45323</v>
      </c>
      <c r="I456" s="19">
        <v>800</v>
      </c>
      <c r="J456" s="24" t="s">
        <v>20</v>
      </c>
      <c r="K456" s="25"/>
    </row>
    <row r="457" s="6" customFormat="1" ht="31" customHeight="1" spans="1:11">
      <c r="A457" s="19">
        <v>453</v>
      </c>
      <c r="B457" s="20" t="s">
        <v>411</v>
      </c>
      <c r="C457" s="20" t="s">
        <v>505</v>
      </c>
      <c r="D457" s="20" t="s">
        <v>522</v>
      </c>
      <c r="E457" s="21" t="s">
        <v>17</v>
      </c>
      <c r="F457" s="20" t="s">
        <v>18</v>
      </c>
      <c r="G457" s="20" t="s">
        <v>19</v>
      </c>
      <c r="H457" s="23">
        <v>45352</v>
      </c>
      <c r="I457" s="19">
        <v>600</v>
      </c>
      <c r="J457" s="24" t="s">
        <v>20</v>
      </c>
      <c r="K457" s="25"/>
    </row>
    <row r="458" s="6" customFormat="1" ht="31" customHeight="1" spans="1:11">
      <c r="A458" s="19">
        <v>454</v>
      </c>
      <c r="B458" s="20" t="s">
        <v>411</v>
      </c>
      <c r="C458" s="20" t="s">
        <v>505</v>
      </c>
      <c r="D458" s="20" t="s">
        <v>523</v>
      </c>
      <c r="E458" s="21" t="s">
        <v>17</v>
      </c>
      <c r="F458" s="20" t="s">
        <v>18</v>
      </c>
      <c r="G458" s="20" t="s">
        <v>19</v>
      </c>
      <c r="H458" s="23">
        <v>45352</v>
      </c>
      <c r="I458" s="19">
        <v>600</v>
      </c>
      <c r="J458" s="24" t="s">
        <v>20</v>
      </c>
      <c r="K458" s="25"/>
    </row>
    <row r="459" s="6" customFormat="1" ht="31" customHeight="1" spans="1:11">
      <c r="A459" s="19">
        <v>455</v>
      </c>
      <c r="B459" s="20" t="s">
        <v>411</v>
      </c>
      <c r="C459" s="20" t="s">
        <v>505</v>
      </c>
      <c r="D459" s="20" t="s">
        <v>524</v>
      </c>
      <c r="E459" s="21" t="s">
        <v>17</v>
      </c>
      <c r="F459" s="20" t="s">
        <v>18</v>
      </c>
      <c r="G459" s="20" t="s">
        <v>19</v>
      </c>
      <c r="H459" s="23">
        <v>45474</v>
      </c>
      <c r="I459" s="19">
        <v>600</v>
      </c>
      <c r="J459" s="24" t="s">
        <v>20</v>
      </c>
      <c r="K459" s="25"/>
    </row>
    <row r="460" s="6" customFormat="1" ht="31" customHeight="1" spans="1:11">
      <c r="A460" s="19">
        <v>456</v>
      </c>
      <c r="B460" s="20" t="s">
        <v>411</v>
      </c>
      <c r="C460" s="20" t="s">
        <v>505</v>
      </c>
      <c r="D460" s="20" t="s">
        <v>525</v>
      </c>
      <c r="E460" s="21" t="s">
        <v>17</v>
      </c>
      <c r="F460" s="20" t="s">
        <v>18</v>
      </c>
      <c r="G460" s="20" t="s">
        <v>29</v>
      </c>
      <c r="H460" s="23">
        <v>45323</v>
      </c>
      <c r="I460" s="19">
        <v>800</v>
      </c>
      <c r="J460" s="24" t="s">
        <v>20</v>
      </c>
      <c r="K460" s="25"/>
    </row>
    <row r="461" s="6" customFormat="1" ht="31" customHeight="1" spans="1:11">
      <c r="A461" s="19">
        <v>457</v>
      </c>
      <c r="B461" s="20" t="s">
        <v>411</v>
      </c>
      <c r="C461" s="20" t="s">
        <v>505</v>
      </c>
      <c r="D461" s="20" t="s">
        <v>526</v>
      </c>
      <c r="E461" s="21" t="s">
        <v>17</v>
      </c>
      <c r="F461" s="20" t="s">
        <v>18</v>
      </c>
      <c r="G461" s="20" t="s">
        <v>29</v>
      </c>
      <c r="H461" s="23">
        <v>45323</v>
      </c>
      <c r="I461" s="19">
        <v>800</v>
      </c>
      <c r="J461" s="24" t="s">
        <v>20</v>
      </c>
      <c r="K461" s="25"/>
    </row>
    <row r="462" s="6" customFormat="1" ht="31" customHeight="1" spans="1:11">
      <c r="A462" s="19">
        <v>458</v>
      </c>
      <c r="B462" s="20" t="s">
        <v>411</v>
      </c>
      <c r="C462" s="20" t="s">
        <v>505</v>
      </c>
      <c r="D462" s="20" t="s">
        <v>527</v>
      </c>
      <c r="E462" s="21" t="s">
        <v>17</v>
      </c>
      <c r="F462" s="20" t="s">
        <v>18</v>
      </c>
      <c r="G462" s="20" t="s">
        <v>19</v>
      </c>
      <c r="H462" s="23">
        <v>45292</v>
      </c>
      <c r="I462" s="19">
        <v>600</v>
      </c>
      <c r="J462" s="24" t="s">
        <v>20</v>
      </c>
      <c r="K462" s="25"/>
    </row>
    <row r="463" s="6" customFormat="1" ht="31" customHeight="1" spans="1:11">
      <c r="A463" s="19">
        <v>459</v>
      </c>
      <c r="B463" s="20" t="s">
        <v>411</v>
      </c>
      <c r="C463" s="20" t="s">
        <v>505</v>
      </c>
      <c r="D463" s="20" t="s">
        <v>528</v>
      </c>
      <c r="E463" s="21" t="s">
        <v>17</v>
      </c>
      <c r="F463" s="20" t="s">
        <v>18</v>
      </c>
      <c r="G463" s="20" t="s">
        <v>19</v>
      </c>
      <c r="H463" s="23">
        <v>45323</v>
      </c>
      <c r="I463" s="19">
        <v>600</v>
      </c>
      <c r="J463" s="24" t="s">
        <v>20</v>
      </c>
      <c r="K463" s="25"/>
    </row>
    <row r="464" s="6" customFormat="1" ht="31" customHeight="1" spans="1:11">
      <c r="A464" s="19">
        <v>460</v>
      </c>
      <c r="B464" s="20" t="s">
        <v>411</v>
      </c>
      <c r="C464" s="20" t="s">
        <v>505</v>
      </c>
      <c r="D464" s="20" t="s">
        <v>529</v>
      </c>
      <c r="E464" s="21" t="s">
        <v>17</v>
      </c>
      <c r="F464" s="20" t="s">
        <v>18</v>
      </c>
      <c r="G464" s="20" t="s">
        <v>32</v>
      </c>
      <c r="H464" s="23">
        <v>45323</v>
      </c>
      <c r="I464" s="19">
        <v>800</v>
      </c>
      <c r="J464" s="24" t="s">
        <v>20</v>
      </c>
      <c r="K464" s="25"/>
    </row>
    <row r="465" s="6" customFormat="1" ht="31" customHeight="1" spans="1:11">
      <c r="A465" s="19">
        <v>461</v>
      </c>
      <c r="B465" s="20" t="s">
        <v>411</v>
      </c>
      <c r="C465" s="20" t="s">
        <v>505</v>
      </c>
      <c r="D465" s="20" t="s">
        <v>530</v>
      </c>
      <c r="E465" s="21" t="s">
        <v>17</v>
      </c>
      <c r="F465" s="20" t="s">
        <v>18</v>
      </c>
      <c r="G465" s="20" t="s">
        <v>32</v>
      </c>
      <c r="H465" s="23">
        <v>45323</v>
      </c>
      <c r="I465" s="19">
        <v>800</v>
      </c>
      <c r="J465" s="24" t="s">
        <v>20</v>
      </c>
      <c r="K465" s="25"/>
    </row>
    <row r="466" s="6" customFormat="1" ht="31" customHeight="1" spans="1:11">
      <c r="A466" s="19">
        <v>462</v>
      </c>
      <c r="B466" s="20" t="s">
        <v>411</v>
      </c>
      <c r="C466" s="20" t="s">
        <v>531</v>
      </c>
      <c r="D466" s="20" t="s">
        <v>532</v>
      </c>
      <c r="E466" s="21" t="s">
        <v>17</v>
      </c>
      <c r="F466" s="20" t="s">
        <v>18</v>
      </c>
      <c r="G466" s="20" t="s">
        <v>19</v>
      </c>
      <c r="H466" s="23">
        <v>45323</v>
      </c>
      <c r="I466" s="19">
        <f>IF(F466="是",VLOOKUP(G466,[111]Sheet2!A:C,3,FALSE),VLOOKUP(G466,[111]Sheet2!A:B,2,FALSE))</f>
        <v>600</v>
      </c>
      <c r="J466" s="24" t="s">
        <v>20</v>
      </c>
      <c r="K466" s="25"/>
    </row>
    <row r="467" s="6" customFormat="1" ht="31" customHeight="1" spans="1:11">
      <c r="A467" s="19">
        <v>463</v>
      </c>
      <c r="B467" s="20" t="s">
        <v>411</v>
      </c>
      <c r="C467" s="20" t="s">
        <v>531</v>
      </c>
      <c r="D467" s="20" t="s">
        <v>533</v>
      </c>
      <c r="E467" s="21" t="s">
        <v>17</v>
      </c>
      <c r="F467" s="20" t="s">
        <v>18</v>
      </c>
      <c r="G467" s="20" t="s">
        <v>19</v>
      </c>
      <c r="H467" s="23">
        <v>45413</v>
      </c>
      <c r="I467" s="19">
        <f>IF(F467="是",VLOOKUP(G467,[111]Sheet2!A:C,3,FALSE),VLOOKUP(G467,[111]Sheet2!A:B,2,FALSE))</f>
        <v>600</v>
      </c>
      <c r="J467" s="24" t="s">
        <v>20</v>
      </c>
      <c r="K467" s="25"/>
    </row>
    <row r="468" s="6" customFormat="1" ht="31" customHeight="1" spans="1:11">
      <c r="A468" s="19">
        <v>464</v>
      </c>
      <c r="B468" s="20" t="s">
        <v>411</v>
      </c>
      <c r="C468" s="20" t="s">
        <v>531</v>
      </c>
      <c r="D468" s="20" t="s">
        <v>534</v>
      </c>
      <c r="E468" s="21" t="s">
        <v>17</v>
      </c>
      <c r="F468" s="20" t="s">
        <v>18</v>
      </c>
      <c r="G468" s="20" t="s">
        <v>19</v>
      </c>
      <c r="H468" s="23">
        <v>45323</v>
      </c>
      <c r="I468" s="19">
        <f>IF(F468="是",VLOOKUP(G468,[112]Sheet2!A:C,3,FALSE),VLOOKUP(G468,[112]Sheet2!A:B,2,FALSE))</f>
        <v>600</v>
      </c>
      <c r="J468" s="24" t="s">
        <v>20</v>
      </c>
      <c r="K468" s="25"/>
    </row>
    <row r="469" s="6" customFormat="1" ht="31" customHeight="1" spans="1:11">
      <c r="A469" s="19">
        <v>465</v>
      </c>
      <c r="B469" s="20" t="s">
        <v>411</v>
      </c>
      <c r="C469" s="20" t="s">
        <v>531</v>
      </c>
      <c r="D469" s="20" t="s">
        <v>535</v>
      </c>
      <c r="E469" s="21" t="s">
        <v>17</v>
      </c>
      <c r="F469" s="20" t="s">
        <v>18</v>
      </c>
      <c r="G469" s="20" t="s">
        <v>19</v>
      </c>
      <c r="H469" s="23">
        <v>45323</v>
      </c>
      <c r="I469" s="19">
        <f>IF(F469="是",VLOOKUP(G469,[112]Sheet2!A:C,3,FALSE),VLOOKUP(G469,[112]Sheet2!A:B,2,FALSE))</f>
        <v>600</v>
      </c>
      <c r="J469" s="24" t="s">
        <v>20</v>
      </c>
      <c r="K469" s="25"/>
    </row>
    <row r="470" s="6" customFormat="1" ht="31" customHeight="1" spans="1:11">
      <c r="A470" s="19">
        <v>466</v>
      </c>
      <c r="B470" s="20" t="s">
        <v>411</v>
      </c>
      <c r="C470" s="20" t="s">
        <v>531</v>
      </c>
      <c r="D470" s="20" t="s">
        <v>536</v>
      </c>
      <c r="E470" s="21" t="s">
        <v>17</v>
      </c>
      <c r="F470" s="20" t="s">
        <v>18</v>
      </c>
      <c r="G470" s="20" t="s">
        <v>19</v>
      </c>
      <c r="H470" s="23">
        <v>45323</v>
      </c>
      <c r="I470" s="19">
        <v>600</v>
      </c>
      <c r="J470" s="24" t="s">
        <v>20</v>
      </c>
      <c r="K470" s="25"/>
    </row>
    <row r="471" s="6" customFormat="1" ht="31" customHeight="1" spans="1:11">
      <c r="A471" s="19">
        <v>467</v>
      </c>
      <c r="B471" s="20" t="s">
        <v>411</v>
      </c>
      <c r="C471" s="20" t="s">
        <v>531</v>
      </c>
      <c r="D471" s="20" t="s">
        <v>537</v>
      </c>
      <c r="E471" s="21" t="s">
        <v>17</v>
      </c>
      <c r="F471" s="20" t="s">
        <v>18</v>
      </c>
      <c r="G471" s="20" t="s">
        <v>32</v>
      </c>
      <c r="H471" s="23">
        <v>45293</v>
      </c>
      <c r="I471" s="19">
        <f>IF(F471="是",VLOOKUP(G471,[115]Sheet2!A:C,3,FALSE),VLOOKUP(G471,[115]Sheet2!A:B,2,FALSE))</f>
        <v>800</v>
      </c>
      <c r="J471" s="24" t="s">
        <v>20</v>
      </c>
      <c r="K471" s="25"/>
    </row>
    <row r="472" s="6" customFormat="1" ht="31" customHeight="1" spans="1:11">
      <c r="A472" s="19">
        <v>468</v>
      </c>
      <c r="B472" s="20" t="s">
        <v>411</v>
      </c>
      <c r="C472" s="20" t="s">
        <v>531</v>
      </c>
      <c r="D472" s="20" t="s">
        <v>538</v>
      </c>
      <c r="E472" s="21" t="s">
        <v>17</v>
      </c>
      <c r="F472" s="20" t="s">
        <v>18</v>
      </c>
      <c r="G472" s="20" t="s">
        <v>19</v>
      </c>
      <c r="H472" s="23">
        <v>45352</v>
      </c>
      <c r="I472" s="19">
        <f>IF(F472="是",VLOOKUP(G472,[113]Sheet2!A:C,3,FALSE),VLOOKUP(G472,[113]Sheet2!A:B,2,FALSE))</f>
        <v>600</v>
      </c>
      <c r="J472" s="24" t="s">
        <v>20</v>
      </c>
      <c r="K472" s="25"/>
    </row>
    <row r="473" s="6" customFormat="1" ht="31" customHeight="1" spans="1:11">
      <c r="A473" s="19">
        <v>469</v>
      </c>
      <c r="B473" s="20" t="s">
        <v>411</v>
      </c>
      <c r="C473" s="20" t="s">
        <v>531</v>
      </c>
      <c r="D473" s="20" t="s">
        <v>539</v>
      </c>
      <c r="E473" s="21" t="s">
        <v>17</v>
      </c>
      <c r="F473" s="20" t="s">
        <v>18</v>
      </c>
      <c r="G473" s="20" t="s">
        <v>19</v>
      </c>
      <c r="H473" s="23">
        <v>45323</v>
      </c>
      <c r="I473" s="19">
        <f>IF(F473="是",VLOOKUP(G473,[113]Sheet2!A:C,3,FALSE),VLOOKUP(G473,[113]Sheet2!A:B,2,FALSE))</f>
        <v>600</v>
      </c>
      <c r="J473" s="24" t="s">
        <v>20</v>
      </c>
      <c r="K473" s="25"/>
    </row>
    <row r="474" s="6" customFormat="1" ht="31" customHeight="1" spans="1:11">
      <c r="A474" s="19">
        <v>470</v>
      </c>
      <c r="B474" s="20" t="s">
        <v>411</v>
      </c>
      <c r="C474" s="20" t="s">
        <v>531</v>
      </c>
      <c r="D474" s="20" t="s">
        <v>540</v>
      </c>
      <c r="E474" s="21" t="s">
        <v>17</v>
      </c>
      <c r="F474" s="20" t="s">
        <v>18</v>
      </c>
      <c r="G474" s="20" t="s">
        <v>301</v>
      </c>
      <c r="H474" s="23">
        <v>45323</v>
      </c>
      <c r="I474" s="19">
        <v>800</v>
      </c>
      <c r="J474" s="24" t="s">
        <v>20</v>
      </c>
      <c r="K474" s="25"/>
    </row>
    <row r="475" s="6" customFormat="1" ht="31" customHeight="1" spans="1:11">
      <c r="A475" s="19">
        <v>471</v>
      </c>
      <c r="B475" s="20" t="s">
        <v>411</v>
      </c>
      <c r="C475" s="20" t="s">
        <v>531</v>
      </c>
      <c r="D475" s="20" t="s">
        <v>541</v>
      </c>
      <c r="E475" s="21" t="s">
        <v>17</v>
      </c>
      <c r="F475" s="20" t="s">
        <v>18</v>
      </c>
      <c r="G475" s="20" t="s">
        <v>19</v>
      </c>
      <c r="H475" s="23">
        <v>45292</v>
      </c>
      <c r="I475" s="19">
        <f>IF(F475="是",VLOOKUP(G475,[114]Sheet2!A:C,3,FALSE),VLOOKUP(G475,[114]Sheet2!A:B,2,FALSE))</f>
        <v>600</v>
      </c>
      <c r="J475" s="24" t="s">
        <v>20</v>
      </c>
      <c r="K475" s="25"/>
    </row>
    <row r="476" s="6" customFormat="1" ht="31" customHeight="1" spans="1:11">
      <c r="A476" s="19">
        <v>472</v>
      </c>
      <c r="B476" s="20" t="s">
        <v>411</v>
      </c>
      <c r="C476" s="20" t="s">
        <v>531</v>
      </c>
      <c r="D476" s="20" t="s">
        <v>542</v>
      </c>
      <c r="E476" s="21" t="s">
        <v>17</v>
      </c>
      <c r="F476" s="20" t="s">
        <v>18</v>
      </c>
      <c r="G476" s="20" t="s">
        <v>19</v>
      </c>
      <c r="H476" s="23">
        <v>45292</v>
      </c>
      <c r="I476" s="19">
        <f>IF(F476="是",VLOOKUP(G476,[156]Sheet2!A:C,3,FALSE),VLOOKUP(G476,[156]Sheet2!A:B,2,FALSE))</f>
        <v>600</v>
      </c>
      <c r="J476" s="24" t="s">
        <v>20</v>
      </c>
      <c r="K476" s="25"/>
    </row>
    <row r="477" s="6" customFormat="1" ht="31" customHeight="1" spans="1:11">
      <c r="A477" s="19">
        <v>473</v>
      </c>
      <c r="B477" s="20" t="s">
        <v>411</v>
      </c>
      <c r="C477" s="20" t="s">
        <v>531</v>
      </c>
      <c r="D477" s="20" t="s">
        <v>543</v>
      </c>
      <c r="E477" s="21" t="s">
        <v>17</v>
      </c>
      <c r="F477" s="20" t="s">
        <v>18</v>
      </c>
      <c r="G477" s="20" t="s">
        <v>19</v>
      </c>
      <c r="H477" s="23">
        <v>45292</v>
      </c>
      <c r="I477" s="19">
        <f>IF(F477="是",VLOOKUP(G477,[157]Sheet2!A:C,3,FALSE),VLOOKUP(G477,[157]Sheet2!A:B,2,FALSE))</f>
        <v>600</v>
      </c>
      <c r="J477" s="24" t="s">
        <v>20</v>
      </c>
      <c r="K477" s="25"/>
    </row>
    <row r="478" s="6" customFormat="1" ht="31" customHeight="1" spans="1:11">
      <c r="A478" s="19">
        <v>474</v>
      </c>
      <c r="B478" s="20" t="s">
        <v>411</v>
      </c>
      <c r="C478" s="20" t="s">
        <v>531</v>
      </c>
      <c r="D478" s="20" t="s">
        <v>544</v>
      </c>
      <c r="E478" s="21" t="s">
        <v>17</v>
      </c>
      <c r="F478" s="20" t="s">
        <v>18</v>
      </c>
      <c r="G478" s="20" t="s">
        <v>98</v>
      </c>
      <c r="H478" s="23">
        <v>45292</v>
      </c>
      <c r="I478" s="19">
        <f>IF(F478="是",VLOOKUP(G478,[158]Sheet2!A:C,3,FALSE),VLOOKUP(G478,[158]Sheet2!A:B,2,FALSE))</f>
        <v>800</v>
      </c>
      <c r="J478" s="24" t="s">
        <v>20</v>
      </c>
      <c r="K478" s="25"/>
    </row>
    <row r="479" s="6" customFormat="1" ht="31" customHeight="1" spans="1:11">
      <c r="A479" s="19">
        <v>475</v>
      </c>
      <c r="B479" s="20" t="s">
        <v>411</v>
      </c>
      <c r="C479" s="20" t="s">
        <v>531</v>
      </c>
      <c r="D479" s="20" t="s">
        <v>545</v>
      </c>
      <c r="E479" s="21" t="s">
        <v>17</v>
      </c>
      <c r="F479" s="20" t="s">
        <v>18</v>
      </c>
      <c r="G479" s="20" t="s">
        <v>19</v>
      </c>
      <c r="H479" s="23">
        <v>45323</v>
      </c>
      <c r="I479" s="19">
        <f>IF(F479="是",VLOOKUP(G479,[112]Sheet2!A:C,3,FALSE),VLOOKUP(G479,[112]Sheet2!A:B,2,FALSE))</f>
        <v>600</v>
      </c>
      <c r="J479" s="24" t="s">
        <v>20</v>
      </c>
      <c r="K479" s="25"/>
    </row>
    <row r="480" s="6" customFormat="1" ht="31" customHeight="1" spans="1:11">
      <c r="A480" s="19">
        <v>476</v>
      </c>
      <c r="B480" s="20" t="s">
        <v>411</v>
      </c>
      <c r="C480" s="20" t="s">
        <v>546</v>
      </c>
      <c r="D480" s="20" t="s">
        <v>547</v>
      </c>
      <c r="E480" s="21" t="s">
        <v>17</v>
      </c>
      <c r="F480" s="20" t="s">
        <v>82</v>
      </c>
      <c r="G480" s="20" t="s">
        <v>19</v>
      </c>
      <c r="H480" s="23">
        <v>45323</v>
      </c>
      <c r="I480" s="19">
        <f>IF(F480="是",VLOOKUP(G480,[118]Sheet2!A:C,3,FALSE),VLOOKUP(G480,[118]Sheet2!A:B,2,FALSE))</f>
        <v>300</v>
      </c>
      <c r="J480" s="24" t="s">
        <v>20</v>
      </c>
      <c r="K480" s="25"/>
    </row>
    <row r="481" s="6" customFormat="1" ht="31" customHeight="1" spans="1:11">
      <c r="A481" s="19">
        <v>477</v>
      </c>
      <c r="B481" s="20" t="s">
        <v>411</v>
      </c>
      <c r="C481" s="20" t="s">
        <v>546</v>
      </c>
      <c r="D481" s="20" t="s">
        <v>548</v>
      </c>
      <c r="E481" s="21" t="s">
        <v>17</v>
      </c>
      <c r="F481" s="20" t="s">
        <v>18</v>
      </c>
      <c r="G481" s="20" t="s">
        <v>19</v>
      </c>
      <c r="H481" s="23">
        <v>45292</v>
      </c>
      <c r="I481" s="19">
        <v>600</v>
      </c>
      <c r="J481" s="24" t="s">
        <v>20</v>
      </c>
      <c r="K481" s="25"/>
    </row>
    <row r="482" s="6" customFormat="1" ht="31" customHeight="1" spans="1:11">
      <c r="A482" s="19">
        <v>478</v>
      </c>
      <c r="B482" s="20" t="s">
        <v>411</v>
      </c>
      <c r="C482" s="20" t="s">
        <v>546</v>
      </c>
      <c r="D482" s="20" t="s">
        <v>549</v>
      </c>
      <c r="E482" s="21" t="s">
        <v>17</v>
      </c>
      <c r="F482" s="20" t="s">
        <v>18</v>
      </c>
      <c r="G482" s="20" t="s">
        <v>19</v>
      </c>
      <c r="H482" s="23">
        <v>45352</v>
      </c>
      <c r="I482" s="19">
        <v>600</v>
      </c>
      <c r="J482" s="24" t="s">
        <v>20</v>
      </c>
      <c r="K482" s="25"/>
    </row>
    <row r="483" s="6" customFormat="1" ht="31" customHeight="1" spans="1:11">
      <c r="A483" s="19">
        <v>479</v>
      </c>
      <c r="B483" s="20" t="s">
        <v>411</v>
      </c>
      <c r="C483" s="20" t="s">
        <v>546</v>
      </c>
      <c r="D483" s="20" t="s">
        <v>550</v>
      </c>
      <c r="E483" s="21" t="s">
        <v>17</v>
      </c>
      <c r="F483" s="20" t="s">
        <v>18</v>
      </c>
      <c r="G483" s="20" t="s">
        <v>98</v>
      </c>
      <c r="H483" s="23">
        <v>45352</v>
      </c>
      <c r="I483" s="19">
        <v>800</v>
      </c>
      <c r="J483" s="24" t="s">
        <v>20</v>
      </c>
      <c r="K483" s="25"/>
    </row>
    <row r="484" s="6" customFormat="1" ht="31" customHeight="1" spans="1:11">
      <c r="A484" s="19">
        <v>480</v>
      </c>
      <c r="B484" s="20" t="s">
        <v>411</v>
      </c>
      <c r="C484" s="20" t="s">
        <v>546</v>
      </c>
      <c r="D484" s="20" t="s">
        <v>551</v>
      </c>
      <c r="E484" s="21" t="s">
        <v>17</v>
      </c>
      <c r="F484" s="20" t="s">
        <v>18</v>
      </c>
      <c r="G484" s="20" t="s">
        <v>19</v>
      </c>
      <c r="H484" s="23">
        <v>45324</v>
      </c>
      <c r="I484" s="19">
        <f>IF(F484="是",VLOOKUP(G484,[116]Sheet2!A:C,3,FALSE),VLOOKUP(G484,[116]Sheet2!A:B,2,FALSE))</f>
        <v>600</v>
      </c>
      <c r="J484" s="24" t="s">
        <v>20</v>
      </c>
      <c r="K484" s="25"/>
    </row>
    <row r="485" s="6" customFormat="1" ht="31" customHeight="1" spans="1:11">
      <c r="A485" s="19">
        <v>481</v>
      </c>
      <c r="B485" s="20" t="s">
        <v>411</v>
      </c>
      <c r="C485" s="20" t="s">
        <v>546</v>
      </c>
      <c r="D485" s="20" t="s">
        <v>552</v>
      </c>
      <c r="E485" s="21" t="s">
        <v>17</v>
      </c>
      <c r="F485" s="20" t="s">
        <v>18</v>
      </c>
      <c r="G485" s="20" t="s">
        <v>19</v>
      </c>
      <c r="H485" s="23">
        <v>45292</v>
      </c>
      <c r="I485" s="19">
        <f>IF(F485="是",VLOOKUP(G485,[117]Sheet2!A:C,3,FALSE),VLOOKUP(G485,[117]Sheet2!A:B,2,FALSE))</f>
        <v>600</v>
      </c>
      <c r="J485" s="24" t="s">
        <v>20</v>
      </c>
      <c r="K485" s="25"/>
    </row>
    <row r="486" s="6" customFormat="1" ht="31" customHeight="1" spans="1:11">
      <c r="A486" s="19">
        <v>482</v>
      </c>
      <c r="B486" s="20" t="s">
        <v>411</v>
      </c>
      <c r="C486" s="20" t="s">
        <v>546</v>
      </c>
      <c r="D486" s="20" t="s">
        <v>553</v>
      </c>
      <c r="E486" s="21" t="s">
        <v>17</v>
      </c>
      <c r="F486" s="20" t="s">
        <v>18</v>
      </c>
      <c r="G486" s="20" t="s">
        <v>19</v>
      </c>
      <c r="H486" s="23">
        <v>45292</v>
      </c>
      <c r="I486" s="19">
        <f>IF(F486="是",VLOOKUP(G486,[119]Sheet2!A:C,3,FALSE),VLOOKUP(G486,[119]Sheet2!A:B,2,FALSE))</f>
        <v>600</v>
      </c>
      <c r="J486" s="24" t="s">
        <v>20</v>
      </c>
      <c r="K486" s="25"/>
    </row>
    <row r="487" s="6" customFormat="1" ht="31" customHeight="1" spans="1:11">
      <c r="A487" s="19">
        <v>483</v>
      </c>
      <c r="B487" s="20" t="s">
        <v>411</v>
      </c>
      <c r="C487" s="20" t="s">
        <v>546</v>
      </c>
      <c r="D487" s="20" t="s">
        <v>554</v>
      </c>
      <c r="E487" s="21" t="s">
        <v>17</v>
      </c>
      <c r="F487" s="20" t="s">
        <v>18</v>
      </c>
      <c r="G487" s="20" t="s">
        <v>78</v>
      </c>
      <c r="H487" s="23">
        <v>45323</v>
      </c>
      <c r="I487" s="19">
        <f>IF(F487="是",VLOOKUP(G487,[120]Sheet2!A:C,3,FALSE),VLOOKUP(G487,[120]Sheet2!A:B,2,FALSE))</f>
        <v>800</v>
      </c>
      <c r="J487" s="24" t="s">
        <v>20</v>
      </c>
      <c r="K487" s="25"/>
    </row>
    <row r="488" s="6" customFormat="1" ht="31" customHeight="1" spans="1:11">
      <c r="A488" s="19">
        <v>484</v>
      </c>
      <c r="B488" s="20" t="s">
        <v>411</v>
      </c>
      <c r="C488" s="20" t="s">
        <v>546</v>
      </c>
      <c r="D488" s="20" t="s">
        <v>555</v>
      </c>
      <c r="E488" s="21" t="s">
        <v>17</v>
      </c>
      <c r="F488" s="20" t="s">
        <v>18</v>
      </c>
      <c r="G488" s="20" t="s">
        <v>19</v>
      </c>
      <c r="H488" s="23">
        <v>45323</v>
      </c>
      <c r="I488" s="19">
        <f>IF(F488="是",VLOOKUP(G488,[121]Sheet2!A:C,3,FALSE),VLOOKUP(G488,[121]Sheet2!A:B,2,FALSE))</f>
        <v>600</v>
      </c>
      <c r="J488" s="24" t="s">
        <v>20</v>
      </c>
      <c r="K488" s="25"/>
    </row>
    <row r="489" s="6" customFormat="1" ht="31" customHeight="1" spans="1:11">
      <c r="A489" s="19">
        <v>485</v>
      </c>
      <c r="B489" s="20" t="s">
        <v>411</v>
      </c>
      <c r="C489" s="20" t="s">
        <v>546</v>
      </c>
      <c r="D489" s="20" t="s">
        <v>556</v>
      </c>
      <c r="E489" s="21" t="s">
        <v>17</v>
      </c>
      <c r="F489" s="20" t="s">
        <v>18</v>
      </c>
      <c r="G489" s="20" t="s">
        <v>19</v>
      </c>
      <c r="H489" s="23">
        <v>45352</v>
      </c>
      <c r="I489" s="19">
        <f>IF(F489="是",VLOOKUP(G489,[122]Sheet2!A:C,3,FALSE),VLOOKUP(G489,[122]Sheet2!A:B,2,FALSE))</f>
        <v>600</v>
      </c>
      <c r="J489" s="24" t="s">
        <v>20</v>
      </c>
      <c r="K489" s="25"/>
    </row>
    <row r="490" s="6" customFormat="1" ht="31" customHeight="1" spans="1:11">
      <c r="A490" s="19">
        <v>486</v>
      </c>
      <c r="B490" s="20" t="s">
        <v>411</v>
      </c>
      <c r="C490" s="20" t="s">
        <v>546</v>
      </c>
      <c r="D490" s="20" t="s">
        <v>557</v>
      </c>
      <c r="E490" s="21" t="s">
        <v>17</v>
      </c>
      <c r="F490" s="20" t="s">
        <v>18</v>
      </c>
      <c r="G490" s="20" t="s">
        <v>32</v>
      </c>
      <c r="H490" s="23">
        <v>45352</v>
      </c>
      <c r="I490" s="19">
        <v>800</v>
      </c>
      <c r="J490" s="24" t="s">
        <v>20</v>
      </c>
      <c r="K490" s="25"/>
    </row>
    <row r="491" s="6" customFormat="1" ht="31" customHeight="1" spans="1:11">
      <c r="A491" s="19">
        <v>487</v>
      </c>
      <c r="B491" s="20" t="s">
        <v>411</v>
      </c>
      <c r="C491" s="20" t="s">
        <v>546</v>
      </c>
      <c r="D491" s="20" t="s">
        <v>558</v>
      </c>
      <c r="E491" s="21" t="s">
        <v>17</v>
      </c>
      <c r="F491" s="20" t="s">
        <v>18</v>
      </c>
      <c r="G491" s="20" t="s">
        <v>32</v>
      </c>
      <c r="H491" s="23">
        <v>45352</v>
      </c>
      <c r="I491" s="19">
        <v>800</v>
      </c>
      <c r="J491" s="24" t="s">
        <v>20</v>
      </c>
      <c r="K491" s="25"/>
    </row>
    <row r="492" s="6" customFormat="1" ht="31" customHeight="1" spans="1:11">
      <c r="A492" s="19">
        <v>488</v>
      </c>
      <c r="B492" s="20" t="s">
        <v>411</v>
      </c>
      <c r="C492" s="20" t="s">
        <v>546</v>
      </c>
      <c r="D492" s="20" t="s">
        <v>559</v>
      </c>
      <c r="E492" s="21" t="s">
        <v>17</v>
      </c>
      <c r="F492" s="20" t="s">
        <v>18</v>
      </c>
      <c r="G492" s="20" t="s">
        <v>19</v>
      </c>
      <c r="H492" s="23">
        <v>45292</v>
      </c>
      <c r="I492" s="19">
        <v>600</v>
      </c>
      <c r="J492" s="24" t="s">
        <v>20</v>
      </c>
      <c r="K492" s="25"/>
    </row>
    <row r="493" s="6" customFormat="1" ht="31" customHeight="1" spans="1:11">
      <c r="A493" s="19">
        <v>489</v>
      </c>
      <c r="B493" s="20" t="s">
        <v>411</v>
      </c>
      <c r="C493" s="20" t="s">
        <v>546</v>
      </c>
      <c r="D493" s="20" t="s">
        <v>560</v>
      </c>
      <c r="E493" s="21" t="s">
        <v>17</v>
      </c>
      <c r="F493" s="20" t="s">
        <v>18</v>
      </c>
      <c r="G493" s="20" t="s">
        <v>19</v>
      </c>
      <c r="H493" s="23">
        <v>45383</v>
      </c>
      <c r="I493" s="19">
        <f>IF(F493="是",VLOOKUP(G493,[123]Sheet2!A:C,3,FALSE),VLOOKUP(G493,[123]Sheet2!A:B,2,FALSE))</f>
        <v>600</v>
      </c>
      <c r="J493" s="24" t="s">
        <v>20</v>
      </c>
      <c r="K493" s="25"/>
    </row>
    <row r="494" s="6" customFormat="1" ht="31" customHeight="1" spans="1:11">
      <c r="A494" s="19">
        <v>490</v>
      </c>
      <c r="B494" s="20" t="s">
        <v>411</v>
      </c>
      <c r="C494" s="20" t="s">
        <v>546</v>
      </c>
      <c r="D494" s="20" t="s">
        <v>561</v>
      </c>
      <c r="E494" s="21" t="s">
        <v>17</v>
      </c>
      <c r="F494" s="20" t="s">
        <v>18</v>
      </c>
      <c r="G494" s="20" t="s">
        <v>19</v>
      </c>
      <c r="H494" s="23">
        <v>45323</v>
      </c>
      <c r="I494" s="19">
        <f>IF(F494="是",VLOOKUP(G494,[124]Sheet2!A:C,3,FALSE),VLOOKUP(G494,[124]Sheet2!A:B,2,FALSE))</f>
        <v>600</v>
      </c>
      <c r="J494" s="24" t="s">
        <v>20</v>
      </c>
      <c r="K494" s="25"/>
    </row>
    <row r="495" s="6" customFormat="1" ht="31" customHeight="1" spans="1:11">
      <c r="A495" s="19">
        <v>491</v>
      </c>
      <c r="B495" s="20" t="s">
        <v>411</v>
      </c>
      <c r="C495" s="20" t="s">
        <v>546</v>
      </c>
      <c r="D495" s="20" t="s">
        <v>562</v>
      </c>
      <c r="E495" s="21" t="s">
        <v>17</v>
      </c>
      <c r="F495" s="20" t="s">
        <v>18</v>
      </c>
      <c r="G495" s="20" t="s">
        <v>19</v>
      </c>
      <c r="H495" s="23">
        <v>45323</v>
      </c>
      <c r="I495" s="19">
        <f>IF(F495="是",VLOOKUP(G495,[125]Sheet2!A:C,3,FALSE),VLOOKUP(G495,[125]Sheet2!A:B,2,FALSE))</f>
        <v>600</v>
      </c>
      <c r="J495" s="24" t="s">
        <v>20</v>
      </c>
      <c r="K495" s="25"/>
    </row>
    <row r="496" s="6" customFormat="1" ht="31" customHeight="1" spans="1:11">
      <c r="A496" s="19">
        <v>492</v>
      </c>
      <c r="B496" s="20" t="s">
        <v>411</v>
      </c>
      <c r="C496" s="20" t="s">
        <v>546</v>
      </c>
      <c r="D496" s="20" t="s">
        <v>563</v>
      </c>
      <c r="E496" s="21" t="s">
        <v>17</v>
      </c>
      <c r="F496" s="20" t="s">
        <v>18</v>
      </c>
      <c r="G496" s="20" t="s">
        <v>19</v>
      </c>
      <c r="H496" s="23">
        <v>45323</v>
      </c>
      <c r="I496" s="19">
        <f>IF(F496="是",VLOOKUP(G496,[125]Sheet2!A:C,3,FALSE),VLOOKUP(G496,[125]Sheet2!A:B,2,FALSE))</f>
        <v>600</v>
      </c>
      <c r="J496" s="24" t="s">
        <v>20</v>
      </c>
      <c r="K496" s="25"/>
    </row>
    <row r="497" s="6" customFormat="1" ht="31" customHeight="1" spans="1:11">
      <c r="A497" s="19">
        <v>493</v>
      </c>
      <c r="B497" s="20" t="s">
        <v>411</v>
      </c>
      <c r="C497" s="20" t="s">
        <v>546</v>
      </c>
      <c r="D497" s="20" t="s">
        <v>564</v>
      </c>
      <c r="E497" s="21" t="s">
        <v>17</v>
      </c>
      <c r="F497" s="20" t="s">
        <v>18</v>
      </c>
      <c r="G497" s="20" t="s">
        <v>464</v>
      </c>
      <c r="H497" s="23">
        <v>45352</v>
      </c>
      <c r="I497" s="19">
        <f>IF(F497="是",VLOOKUP(G497,[126]Sheet2!A:C,3,FALSE),VLOOKUP(G497,[126]Sheet2!A:B,2,FALSE))</f>
        <v>800</v>
      </c>
      <c r="J497" s="24" t="s">
        <v>20</v>
      </c>
      <c r="K497" s="25"/>
    </row>
    <row r="498" s="6" customFormat="1" ht="31" customHeight="1" spans="1:11">
      <c r="A498" s="19">
        <v>494</v>
      </c>
      <c r="B498" s="20" t="s">
        <v>411</v>
      </c>
      <c r="C498" s="20" t="s">
        <v>546</v>
      </c>
      <c r="D498" s="20" t="s">
        <v>565</v>
      </c>
      <c r="E498" s="21" t="s">
        <v>17</v>
      </c>
      <c r="F498" s="20" t="s">
        <v>18</v>
      </c>
      <c r="G498" s="20" t="s">
        <v>19</v>
      </c>
      <c r="H498" s="23">
        <v>45383</v>
      </c>
      <c r="I498" s="19">
        <v>600</v>
      </c>
      <c r="J498" s="24" t="s">
        <v>20</v>
      </c>
      <c r="K498" s="25"/>
    </row>
    <row r="499" s="6" customFormat="1" ht="31" customHeight="1" spans="1:11">
      <c r="A499" s="19">
        <v>495</v>
      </c>
      <c r="B499" s="20" t="s">
        <v>411</v>
      </c>
      <c r="C499" s="20" t="s">
        <v>546</v>
      </c>
      <c r="D499" s="20" t="s">
        <v>566</v>
      </c>
      <c r="E499" s="21" t="s">
        <v>17</v>
      </c>
      <c r="F499" s="20" t="s">
        <v>18</v>
      </c>
      <c r="G499" s="20" t="s">
        <v>32</v>
      </c>
      <c r="H499" s="23">
        <v>45352</v>
      </c>
      <c r="I499" s="19">
        <f>IF(F499="是",VLOOKUP(G499,[127]Sheet2!A:C,3,FALSE),VLOOKUP(G499,[127]Sheet2!A:B,2,FALSE))</f>
        <v>800</v>
      </c>
      <c r="J499" s="24" t="s">
        <v>20</v>
      </c>
      <c r="K499" s="25"/>
    </row>
    <row r="500" s="6" customFormat="1" ht="31" customHeight="1" spans="1:11">
      <c r="A500" s="19">
        <v>496</v>
      </c>
      <c r="B500" s="20" t="s">
        <v>411</v>
      </c>
      <c r="C500" s="20" t="s">
        <v>546</v>
      </c>
      <c r="D500" s="20" t="s">
        <v>567</v>
      </c>
      <c r="E500" s="21" t="s">
        <v>17</v>
      </c>
      <c r="F500" s="20" t="s">
        <v>18</v>
      </c>
      <c r="G500" s="20" t="s">
        <v>19</v>
      </c>
      <c r="H500" s="23">
        <v>45352</v>
      </c>
      <c r="I500" s="19">
        <v>600</v>
      </c>
      <c r="J500" s="24" t="s">
        <v>20</v>
      </c>
      <c r="K500" s="25"/>
    </row>
    <row r="501" s="6" customFormat="1" ht="31" customHeight="1" spans="1:11">
      <c r="A501" s="19">
        <v>497</v>
      </c>
      <c r="B501" s="20" t="s">
        <v>411</v>
      </c>
      <c r="C501" s="20" t="s">
        <v>546</v>
      </c>
      <c r="D501" s="20" t="s">
        <v>568</v>
      </c>
      <c r="E501" s="21" t="s">
        <v>17</v>
      </c>
      <c r="F501" s="20" t="s">
        <v>18</v>
      </c>
      <c r="G501" s="20" t="s">
        <v>19</v>
      </c>
      <c r="H501" s="23">
        <v>45353</v>
      </c>
      <c r="I501" s="19">
        <v>600</v>
      </c>
      <c r="J501" s="24" t="s">
        <v>20</v>
      </c>
      <c r="K501" s="25"/>
    </row>
    <row r="502" s="6" customFormat="1" ht="31" customHeight="1" spans="1:11">
      <c r="A502" s="19">
        <v>498</v>
      </c>
      <c r="B502" s="20" t="s">
        <v>411</v>
      </c>
      <c r="C502" s="20" t="s">
        <v>546</v>
      </c>
      <c r="D502" s="20" t="s">
        <v>569</v>
      </c>
      <c r="E502" s="21" t="s">
        <v>17</v>
      </c>
      <c r="F502" s="20" t="s">
        <v>18</v>
      </c>
      <c r="G502" s="20" t="s">
        <v>19</v>
      </c>
      <c r="H502" s="23">
        <v>45354</v>
      </c>
      <c r="I502" s="19">
        <f>IF(F502="是",VLOOKUP(G502,[128]Sheet2!A:C,3,FALSE),VLOOKUP(G502,[128]Sheet2!A:B,2,FALSE))</f>
        <v>600</v>
      </c>
      <c r="J502" s="24" t="s">
        <v>20</v>
      </c>
      <c r="K502" s="25"/>
    </row>
    <row r="503" s="6" customFormat="1" ht="31" customHeight="1" spans="1:11">
      <c r="A503" s="19">
        <v>499</v>
      </c>
      <c r="B503" s="20" t="s">
        <v>411</v>
      </c>
      <c r="C503" s="20" t="s">
        <v>546</v>
      </c>
      <c r="D503" s="20" t="s">
        <v>570</v>
      </c>
      <c r="E503" s="21" t="s">
        <v>17</v>
      </c>
      <c r="F503" s="20" t="s">
        <v>18</v>
      </c>
      <c r="G503" s="20" t="s">
        <v>32</v>
      </c>
      <c r="H503" s="23">
        <v>45355</v>
      </c>
      <c r="I503" s="19">
        <f>IF(F503="是",VLOOKUP(G503,[129]Sheet2!A:C,3,FALSE),VLOOKUP(G503,[129]Sheet2!A:B,2,FALSE))</f>
        <v>800</v>
      </c>
      <c r="J503" s="24" t="s">
        <v>20</v>
      </c>
      <c r="K503" s="25"/>
    </row>
    <row r="504" s="6" customFormat="1" ht="31" customHeight="1" spans="1:11">
      <c r="A504" s="19">
        <v>500</v>
      </c>
      <c r="B504" s="20" t="s">
        <v>411</v>
      </c>
      <c r="C504" s="20" t="s">
        <v>546</v>
      </c>
      <c r="D504" s="20" t="s">
        <v>571</v>
      </c>
      <c r="E504" s="21" t="s">
        <v>17</v>
      </c>
      <c r="F504" s="20" t="s">
        <v>18</v>
      </c>
      <c r="G504" s="20" t="s">
        <v>32</v>
      </c>
      <c r="H504" s="23">
        <v>45323</v>
      </c>
      <c r="I504" s="19">
        <v>800</v>
      </c>
      <c r="J504" s="24" t="s">
        <v>20</v>
      </c>
      <c r="K504" s="25"/>
    </row>
    <row r="505" s="6" customFormat="1" ht="31" customHeight="1" spans="1:11">
      <c r="A505" s="19">
        <v>501</v>
      </c>
      <c r="B505" s="20" t="s">
        <v>411</v>
      </c>
      <c r="C505" s="20" t="s">
        <v>546</v>
      </c>
      <c r="D505" s="20" t="s">
        <v>572</v>
      </c>
      <c r="E505" s="21" t="s">
        <v>17</v>
      </c>
      <c r="F505" s="20" t="s">
        <v>18</v>
      </c>
      <c r="G505" s="20" t="s">
        <v>19</v>
      </c>
      <c r="H505" s="23">
        <v>45292</v>
      </c>
      <c r="I505" s="19">
        <v>600</v>
      </c>
      <c r="J505" s="24" t="s">
        <v>20</v>
      </c>
      <c r="K505" s="25"/>
    </row>
    <row r="506" s="6" customFormat="1" ht="31" customHeight="1" spans="1:11">
      <c r="A506" s="19">
        <v>502</v>
      </c>
      <c r="B506" s="20" t="s">
        <v>411</v>
      </c>
      <c r="C506" s="20" t="s">
        <v>546</v>
      </c>
      <c r="D506" s="20" t="s">
        <v>573</v>
      </c>
      <c r="E506" s="21" t="s">
        <v>17</v>
      </c>
      <c r="F506" s="20" t="s">
        <v>18</v>
      </c>
      <c r="G506" s="20" t="s">
        <v>19</v>
      </c>
      <c r="H506" s="23">
        <v>45355</v>
      </c>
      <c r="I506" s="19">
        <v>600</v>
      </c>
      <c r="J506" s="24" t="s">
        <v>20</v>
      </c>
      <c r="K506" s="25"/>
    </row>
    <row r="507" s="6" customFormat="1" ht="31" customHeight="1" spans="1:11">
      <c r="A507" s="19">
        <v>503</v>
      </c>
      <c r="B507" s="20" t="s">
        <v>411</v>
      </c>
      <c r="C507" s="20" t="s">
        <v>546</v>
      </c>
      <c r="D507" s="20" t="s">
        <v>574</v>
      </c>
      <c r="E507" s="21" t="s">
        <v>17</v>
      </c>
      <c r="F507" s="20" t="s">
        <v>18</v>
      </c>
      <c r="G507" s="20" t="s">
        <v>19</v>
      </c>
      <c r="H507" s="23">
        <v>45355</v>
      </c>
      <c r="I507" s="19">
        <v>600</v>
      </c>
      <c r="J507" s="24" t="s">
        <v>20</v>
      </c>
      <c r="K507" s="25"/>
    </row>
    <row r="508" s="6" customFormat="1" ht="31" customHeight="1" spans="1:11">
      <c r="A508" s="19">
        <v>504</v>
      </c>
      <c r="B508" s="20" t="s">
        <v>411</v>
      </c>
      <c r="C508" s="20" t="s">
        <v>546</v>
      </c>
      <c r="D508" s="20" t="s">
        <v>575</v>
      </c>
      <c r="E508" s="21" t="s">
        <v>17</v>
      </c>
      <c r="F508" s="20" t="s">
        <v>18</v>
      </c>
      <c r="G508" s="20" t="s">
        <v>19</v>
      </c>
      <c r="H508" s="23">
        <v>45323</v>
      </c>
      <c r="I508" s="19">
        <f>IF(F508="是",VLOOKUP(G508,[130]Sheet2!A:C,3,FALSE),VLOOKUP(G508,[130]Sheet2!A:B,2,FALSE))</f>
        <v>600</v>
      </c>
      <c r="J508" s="24" t="s">
        <v>20</v>
      </c>
      <c r="K508" s="25"/>
    </row>
    <row r="509" s="6" customFormat="1" ht="31" customHeight="1" spans="1:11">
      <c r="A509" s="19">
        <v>505</v>
      </c>
      <c r="B509" s="20" t="s">
        <v>411</v>
      </c>
      <c r="C509" s="20" t="s">
        <v>546</v>
      </c>
      <c r="D509" s="20" t="s">
        <v>576</v>
      </c>
      <c r="E509" s="21" t="s">
        <v>577</v>
      </c>
      <c r="F509" s="20" t="s">
        <v>18</v>
      </c>
      <c r="G509" s="20" t="s">
        <v>19</v>
      </c>
      <c r="H509" s="23">
        <v>45474</v>
      </c>
      <c r="I509" s="19">
        <f>IF(F509="是",VLOOKUP(G509,[147]Sheet2!A:C,3,FALSE),VLOOKUP(G509,[147]Sheet2!A:B,2,FALSE))</f>
        <v>600</v>
      </c>
      <c r="J509" s="24" t="s">
        <v>20</v>
      </c>
      <c r="K509" s="25"/>
    </row>
    <row r="510" s="6" customFormat="1" ht="31" customHeight="1" spans="1:11">
      <c r="A510" s="19">
        <v>506</v>
      </c>
      <c r="B510" s="20" t="s">
        <v>411</v>
      </c>
      <c r="C510" s="20" t="s">
        <v>546</v>
      </c>
      <c r="D510" s="20" t="s">
        <v>578</v>
      </c>
      <c r="E510" s="21" t="s">
        <v>17</v>
      </c>
      <c r="F510" s="20" t="s">
        <v>18</v>
      </c>
      <c r="G510" s="20" t="s">
        <v>19</v>
      </c>
      <c r="H510" s="23">
        <v>45324</v>
      </c>
      <c r="I510" s="19">
        <f>IF(F510="是",VLOOKUP(G510,[145]Sheet2!A:C,3,FALSE),VLOOKUP(G510,[145]Sheet2!A:B,2,FALSE))</f>
        <v>600</v>
      </c>
      <c r="J510" s="24" t="s">
        <v>20</v>
      </c>
      <c r="K510" s="25"/>
    </row>
    <row r="511" s="6" customFormat="1" ht="31" customHeight="1" spans="1:11">
      <c r="A511" s="19">
        <v>507</v>
      </c>
      <c r="B511" s="20" t="s">
        <v>411</v>
      </c>
      <c r="C511" s="20" t="s">
        <v>546</v>
      </c>
      <c r="D511" s="20" t="s">
        <v>579</v>
      </c>
      <c r="E511" s="21" t="s">
        <v>17</v>
      </c>
      <c r="F511" s="20" t="s">
        <v>18</v>
      </c>
      <c r="G511" s="20" t="s">
        <v>19</v>
      </c>
      <c r="H511" s="23">
        <v>45325</v>
      </c>
      <c r="I511" s="19">
        <f>IF(F511="是",VLOOKUP(G511,[145]Sheet2!A:C,3,FALSE),VLOOKUP(G511,[145]Sheet2!A:B,2,FALSE))</f>
        <v>600</v>
      </c>
      <c r="J511" s="24" t="s">
        <v>20</v>
      </c>
      <c r="K511" s="25"/>
    </row>
    <row r="512" s="6" customFormat="1" ht="31" customHeight="1" spans="1:11">
      <c r="A512" s="19">
        <v>508</v>
      </c>
      <c r="B512" s="20" t="s">
        <v>411</v>
      </c>
      <c r="C512" s="20" t="s">
        <v>546</v>
      </c>
      <c r="D512" s="20" t="s">
        <v>580</v>
      </c>
      <c r="E512" s="21" t="s">
        <v>17</v>
      </c>
      <c r="F512" s="20" t="s">
        <v>18</v>
      </c>
      <c r="G512" s="20" t="s">
        <v>98</v>
      </c>
      <c r="H512" s="23">
        <v>45352</v>
      </c>
      <c r="I512" s="19">
        <f>IF(F512="是",VLOOKUP(G512,[147]Sheet2!A:C,3,FALSE),VLOOKUP(G512,[147]Sheet2!A:B,2,FALSE))</f>
        <v>800</v>
      </c>
      <c r="J512" s="24" t="s">
        <v>20</v>
      </c>
      <c r="K512" s="25"/>
    </row>
    <row r="513" s="6" customFormat="1" ht="31" customHeight="1" spans="1:11">
      <c r="A513" s="19">
        <v>509</v>
      </c>
      <c r="B513" s="20" t="s">
        <v>411</v>
      </c>
      <c r="C513" s="20" t="s">
        <v>546</v>
      </c>
      <c r="D513" s="20" t="s">
        <v>581</v>
      </c>
      <c r="E513" s="21" t="s">
        <v>17</v>
      </c>
      <c r="F513" s="20" t="s">
        <v>18</v>
      </c>
      <c r="G513" s="20" t="s">
        <v>19</v>
      </c>
      <c r="H513" s="23">
        <v>45292</v>
      </c>
      <c r="I513" s="19">
        <f>IF(F513="是",VLOOKUP(G513,[146]Sheet2!A:C,3,FALSE),VLOOKUP(G513,[146]Sheet2!A:B,2,FALSE))</f>
        <v>600</v>
      </c>
      <c r="J513" s="24" t="s">
        <v>20</v>
      </c>
      <c r="K513" s="25"/>
    </row>
    <row r="514" s="6" customFormat="1" ht="31" customHeight="1" spans="1:11">
      <c r="A514" s="19">
        <v>510</v>
      </c>
      <c r="B514" s="20" t="s">
        <v>411</v>
      </c>
      <c r="C514" s="20" t="s">
        <v>546</v>
      </c>
      <c r="D514" s="20" t="s">
        <v>582</v>
      </c>
      <c r="E514" s="21" t="s">
        <v>17</v>
      </c>
      <c r="F514" s="20" t="s">
        <v>18</v>
      </c>
      <c r="G514" s="20" t="s">
        <v>19</v>
      </c>
      <c r="H514" s="23">
        <v>45323</v>
      </c>
      <c r="I514" s="19">
        <f>IF(F514="是",VLOOKUP(G514,[146]Sheet2!A:C,3,FALSE),VLOOKUP(G514,[146]Sheet2!A:B,2,FALSE))</f>
        <v>600</v>
      </c>
      <c r="J514" s="24" t="s">
        <v>20</v>
      </c>
      <c r="K514" s="25"/>
    </row>
    <row r="515" s="6" customFormat="1" ht="31" customHeight="1" spans="1:11">
      <c r="A515" s="19">
        <v>511</v>
      </c>
      <c r="B515" s="20" t="s">
        <v>411</v>
      </c>
      <c r="C515" s="20" t="s">
        <v>546</v>
      </c>
      <c r="D515" s="20" t="s">
        <v>583</v>
      </c>
      <c r="E515" s="21" t="s">
        <v>17</v>
      </c>
      <c r="F515" s="20" t="s">
        <v>18</v>
      </c>
      <c r="G515" s="20" t="s">
        <v>19</v>
      </c>
      <c r="H515" s="23">
        <v>45338</v>
      </c>
      <c r="I515" s="19">
        <v>600</v>
      </c>
      <c r="J515" s="24" t="s">
        <v>20</v>
      </c>
      <c r="K515" s="25"/>
    </row>
    <row r="516" s="6" customFormat="1" ht="31" customHeight="1" spans="1:11">
      <c r="A516" s="19">
        <v>512</v>
      </c>
      <c r="B516" s="20" t="s">
        <v>411</v>
      </c>
      <c r="C516" s="20" t="s">
        <v>546</v>
      </c>
      <c r="D516" s="20" t="s">
        <v>584</v>
      </c>
      <c r="E516" s="21" t="s">
        <v>17</v>
      </c>
      <c r="F516" s="20" t="s">
        <v>18</v>
      </c>
      <c r="G516" s="20" t="s">
        <v>19</v>
      </c>
      <c r="H516" s="23">
        <v>45422</v>
      </c>
      <c r="I516" s="19">
        <f>IF(F516="是",VLOOKUP(G516,[155]Sheet2!A:C,3,FALSE),VLOOKUP(G516,[155]Sheet2!A:B,2,FALSE))</f>
        <v>600</v>
      </c>
      <c r="J516" s="24" t="s">
        <v>20</v>
      </c>
      <c r="K516" s="25"/>
    </row>
    <row r="517" s="6" customFormat="1" ht="31" customHeight="1" spans="1:11">
      <c r="A517" s="19">
        <v>513</v>
      </c>
      <c r="B517" s="20" t="s">
        <v>411</v>
      </c>
      <c r="C517" s="20" t="s">
        <v>546</v>
      </c>
      <c r="D517" s="20" t="s">
        <v>585</v>
      </c>
      <c r="E517" s="21" t="s">
        <v>17</v>
      </c>
      <c r="F517" s="20" t="s">
        <v>18</v>
      </c>
      <c r="G517" s="20" t="s">
        <v>19</v>
      </c>
      <c r="H517" s="23">
        <v>45323</v>
      </c>
      <c r="I517" s="19">
        <f>IF(F517="是",VLOOKUP(G517,[159]Sheet2!A:C,3,FALSE),VLOOKUP(G517,[159]Sheet2!A:B,2,FALSE))</f>
        <v>600</v>
      </c>
      <c r="J517" s="24" t="s">
        <v>20</v>
      </c>
      <c r="K517" s="25"/>
    </row>
    <row r="518" s="6" customFormat="1" ht="31" customHeight="1" spans="1:11">
      <c r="A518" s="19">
        <v>514</v>
      </c>
      <c r="B518" s="20" t="s">
        <v>411</v>
      </c>
      <c r="C518" s="20" t="s">
        <v>546</v>
      </c>
      <c r="D518" s="20" t="s">
        <v>586</v>
      </c>
      <c r="E518" s="21" t="s">
        <v>17</v>
      </c>
      <c r="F518" s="20" t="s">
        <v>18</v>
      </c>
      <c r="G518" s="20" t="s">
        <v>19</v>
      </c>
      <c r="H518" s="23">
        <v>45474</v>
      </c>
      <c r="I518" s="19">
        <v>600</v>
      </c>
      <c r="J518" s="24" t="s">
        <v>20</v>
      </c>
      <c r="K518" s="25"/>
    </row>
    <row r="519" s="6" customFormat="1" ht="31" customHeight="1" spans="1:11">
      <c r="A519" s="19">
        <v>515</v>
      </c>
      <c r="B519" s="20" t="s">
        <v>411</v>
      </c>
      <c r="C519" s="20" t="s">
        <v>546</v>
      </c>
      <c r="D519" s="20" t="s">
        <v>587</v>
      </c>
      <c r="E519" s="21" t="s">
        <v>17</v>
      </c>
      <c r="F519" s="20" t="s">
        <v>18</v>
      </c>
      <c r="G519" s="20" t="s">
        <v>351</v>
      </c>
      <c r="H519" s="23">
        <v>45383</v>
      </c>
      <c r="I519" s="19">
        <v>800</v>
      </c>
      <c r="J519" s="24" t="s">
        <v>20</v>
      </c>
      <c r="K519" s="25"/>
    </row>
    <row r="520" s="6" customFormat="1" ht="31" customHeight="1" spans="1:11">
      <c r="A520" s="19">
        <v>516</v>
      </c>
      <c r="B520" s="20" t="s">
        <v>411</v>
      </c>
      <c r="C520" s="20" t="s">
        <v>588</v>
      </c>
      <c r="D520" s="20" t="s">
        <v>589</v>
      </c>
      <c r="E520" s="21" t="s">
        <v>17</v>
      </c>
      <c r="F520" s="20" t="s">
        <v>18</v>
      </c>
      <c r="G520" s="20" t="s">
        <v>19</v>
      </c>
      <c r="H520" s="23">
        <v>45292</v>
      </c>
      <c r="I520" s="19">
        <f>IF(F520="是",VLOOKUP(G520,[132]Sheet2!A:C,3,FALSE),VLOOKUP(G520,[132]Sheet2!A:B,2,FALSE))</f>
        <v>600</v>
      </c>
      <c r="J520" s="24" t="s">
        <v>20</v>
      </c>
      <c r="K520" s="25"/>
    </row>
    <row r="521" s="6" customFormat="1" ht="31" customHeight="1" spans="1:11">
      <c r="A521" s="19">
        <v>517</v>
      </c>
      <c r="B521" s="20" t="s">
        <v>411</v>
      </c>
      <c r="C521" s="20" t="s">
        <v>588</v>
      </c>
      <c r="D521" s="20" t="s">
        <v>590</v>
      </c>
      <c r="E521" s="21" t="s">
        <v>17</v>
      </c>
      <c r="F521" s="20" t="s">
        <v>18</v>
      </c>
      <c r="G521" s="20" t="s">
        <v>19</v>
      </c>
      <c r="H521" s="23">
        <v>45292</v>
      </c>
      <c r="I521" s="19">
        <f>IF(F521="是",VLOOKUP(G521,[132]Sheet2!A:C,3,FALSE),VLOOKUP(G521,[132]Sheet2!A:B,2,FALSE))</f>
        <v>600</v>
      </c>
      <c r="J521" s="24" t="s">
        <v>20</v>
      </c>
      <c r="K521" s="25"/>
    </row>
    <row r="522" s="6" customFormat="1" ht="31" customHeight="1" spans="1:11">
      <c r="A522" s="19">
        <v>518</v>
      </c>
      <c r="B522" s="20" t="s">
        <v>411</v>
      </c>
      <c r="C522" s="20" t="s">
        <v>588</v>
      </c>
      <c r="D522" s="20" t="s">
        <v>591</v>
      </c>
      <c r="E522" s="21" t="s">
        <v>17</v>
      </c>
      <c r="F522" s="20" t="s">
        <v>82</v>
      </c>
      <c r="G522" s="20" t="s">
        <v>19</v>
      </c>
      <c r="H522" s="23">
        <v>45292</v>
      </c>
      <c r="I522" s="19">
        <v>300</v>
      </c>
      <c r="J522" s="24" t="s">
        <v>20</v>
      </c>
      <c r="K522" s="25"/>
    </row>
    <row r="523" s="6" customFormat="1" ht="31" customHeight="1" spans="1:11">
      <c r="A523" s="19">
        <v>519</v>
      </c>
      <c r="B523" s="20" t="s">
        <v>411</v>
      </c>
      <c r="C523" s="20" t="s">
        <v>588</v>
      </c>
      <c r="D523" s="20" t="s">
        <v>592</v>
      </c>
      <c r="E523" s="21" t="s">
        <v>17</v>
      </c>
      <c r="F523" s="20" t="s">
        <v>18</v>
      </c>
      <c r="G523" s="20" t="s">
        <v>19</v>
      </c>
      <c r="H523" s="23">
        <v>45292</v>
      </c>
      <c r="I523" s="19">
        <f>IF(F523="是",VLOOKUP(G523,[131]Sheet2!A:C,3,FALSE),VLOOKUP(G523,[131]Sheet2!A:B,2,FALSE))</f>
        <v>600</v>
      </c>
      <c r="J523" s="24" t="s">
        <v>20</v>
      </c>
      <c r="K523" s="25"/>
    </row>
    <row r="524" s="6" customFormat="1" ht="31" customHeight="1" spans="1:11">
      <c r="A524" s="19">
        <v>520</v>
      </c>
      <c r="B524" s="20" t="s">
        <v>411</v>
      </c>
      <c r="C524" s="20" t="s">
        <v>588</v>
      </c>
      <c r="D524" s="20" t="s">
        <v>593</v>
      </c>
      <c r="E524" s="21" t="s">
        <v>17</v>
      </c>
      <c r="F524" s="20" t="s">
        <v>18</v>
      </c>
      <c r="G524" s="20" t="s">
        <v>19</v>
      </c>
      <c r="H524" s="23">
        <v>45352</v>
      </c>
      <c r="I524" s="19">
        <v>600</v>
      </c>
      <c r="J524" s="24" t="s">
        <v>20</v>
      </c>
      <c r="K524" s="25"/>
    </row>
    <row r="525" s="6" customFormat="1" ht="31" customHeight="1" spans="1:11">
      <c r="A525" s="19">
        <v>521</v>
      </c>
      <c r="B525" s="20" t="s">
        <v>411</v>
      </c>
      <c r="C525" s="20" t="s">
        <v>588</v>
      </c>
      <c r="D525" s="20" t="s">
        <v>594</v>
      </c>
      <c r="E525" s="21" t="s">
        <v>17</v>
      </c>
      <c r="F525" s="20" t="s">
        <v>18</v>
      </c>
      <c r="G525" s="20" t="s">
        <v>19</v>
      </c>
      <c r="H525" s="23">
        <v>45352</v>
      </c>
      <c r="I525" s="19">
        <v>600</v>
      </c>
      <c r="J525" s="24" t="s">
        <v>20</v>
      </c>
      <c r="K525" s="25"/>
    </row>
    <row r="526" s="6" customFormat="1" ht="31" customHeight="1" spans="1:11">
      <c r="A526" s="19">
        <v>522</v>
      </c>
      <c r="B526" s="20" t="s">
        <v>411</v>
      </c>
      <c r="C526" s="20" t="s">
        <v>588</v>
      </c>
      <c r="D526" s="20" t="s">
        <v>595</v>
      </c>
      <c r="E526" s="21" t="s">
        <v>17</v>
      </c>
      <c r="F526" s="20" t="s">
        <v>18</v>
      </c>
      <c r="G526" s="20" t="s">
        <v>19</v>
      </c>
      <c r="H526" s="23">
        <v>45340</v>
      </c>
      <c r="I526" s="19">
        <v>600</v>
      </c>
      <c r="J526" s="24" t="s">
        <v>20</v>
      </c>
      <c r="K526" s="25"/>
    </row>
    <row r="527" s="6" customFormat="1" ht="31" customHeight="1" spans="1:11">
      <c r="A527" s="19">
        <v>523</v>
      </c>
      <c r="B527" s="20" t="s">
        <v>411</v>
      </c>
      <c r="C527" s="20" t="s">
        <v>588</v>
      </c>
      <c r="D527" s="20" t="s">
        <v>596</v>
      </c>
      <c r="E527" s="21" t="s">
        <v>17</v>
      </c>
      <c r="F527" s="20" t="s">
        <v>18</v>
      </c>
      <c r="G527" s="20" t="s">
        <v>19</v>
      </c>
      <c r="H527" s="23">
        <v>45352</v>
      </c>
      <c r="I527" s="19">
        <v>600</v>
      </c>
      <c r="J527" s="24" t="s">
        <v>20</v>
      </c>
      <c r="K527" s="25"/>
    </row>
    <row r="528" s="6" customFormat="1" ht="31" customHeight="1" spans="1:11">
      <c r="A528" s="19">
        <v>524</v>
      </c>
      <c r="B528" s="20" t="s">
        <v>411</v>
      </c>
      <c r="C528" s="20" t="s">
        <v>597</v>
      </c>
      <c r="D528" s="20" t="s">
        <v>598</v>
      </c>
      <c r="E528" s="21" t="s">
        <v>17</v>
      </c>
      <c r="F528" s="20" t="s">
        <v>18</v>
      </c>
      <c r="G528" s="20" t="s">
        <v>19</v>
      </c>
      <c r="H528" s="23">
        <v>45292</v>
      </c>
      <c r="I528" s="19">
        <f>IF(F528="是",VLOOKUP(G528,[133]Sheet2!A:C,3,FALSE),VLOOKUP(G528,[133]Sheet2!A:B,2,FALSE))</f>
        <v>600</v>
      </c>
      <c r="J528" s="24" t="s">
        <v>20</v>
      </c>
      <c r="K528" s="25"/>
    </row>
    <row r="529" s="6" customFormat="1" ht="31" customHeight="1" spans="1:11">
      <c r="A529" s="19">
        <v>525</v>
      </c>
      <c r="B529" s="20" t="s">
        <v>411</v>
      </c>
      <c r="C529" s="20" t="s">
        <v>597</v>
      </c>
      <c r="D529" s="20" t="s">
        <v>599</v>
      </c>
      <c r="E529" s="21" t="s">
        <v>17</v>
      </c>
      <c r="F529" s="20" t="s">
        <v>18</v>
      </c>
      <c r="G529" s="20" t="s">
        <v>464</v>
      </c>
      <c r="H529" s="23">
        <v>45352</v>
      </c>
      <c r="I529" s="19">
        <f>IF(F529="是",VLOOKUP(G529,[133]Sheet2!A:C,3,FALSE),VLOOKUP(G529,[133]Sheet2!A:B,2,FALSE))</f>
        <v>800</v>
      </c>
      <c r="J529" s="24" t="s">
        <v>20</v>
      </c>
      <c r="K529" s="25"/>
    </row>
    <row r="530" s="6" customFormat="1" ht="31" customHeight="1" spans="1:11">
      <c r="A530" s="19">
        <v>526</v>
      </c>
      <c r="B530" s="20" t="s">
        <v>411</v>
      </c>
      <c r="C530" s="20" t="s">
        <v>597</v>
      </c>
      <c r="D530" s="20" t="s">
        <v>600</v>
      </c>
      <c r="E530" s="21" t="s">
        <v>17</v>
      </c>
      <c r="F530" s="20" t="s">
        <v>18</v>
      </c>
      <c r="G530" s="20" t="s">
        <v>464</v>
      </c>
      <c r="H530" s="23">
        <v>45352</v>
      </c>
      <c r="I530" s="19">
        <f>IF(F530="是",VLOOKUP(G530,[133]Sheet2!A:C,3,FALSE),VLOOKUP(G530,[133]Sheet2!A:B,2,FALSE))</f>
        <v>800</v>
      </c>
      <c r="J530" s="24" t="s">
        <v>20</v>
      </c>
      <c r="K530" s="25"/>
    </row>
    <row r="531" s="6" customFormat="1" ht="31" customHeight="1" spans="1:11">
      <c r="A531" s="19">
        <v>527</v>
      </c>
      <c r="B531" s="20" t="s">
        <v>411</v>
      </c>
      <c r="C531" s="20" t="s">
        <v>597</v>
      </c>
      <c r="D531" s="20" t="s">
        <v>601</v>
      </c>
      <c r="E531" s="21" t="s">
        <v>17</v>
      </c>
      <c r="F531" s="20" t="s">
        <v>18</v>
      </c>
      <c r="G531" s="20" t="s">
        <v>19</v>
      </c>
      <c r="H531" s="23">
        <v>45474</v>
      </c>
      <c r="I531" s="19">
        <v>600</v>
      </c>
      <c r="J531" s="24" t="s">
        <v>20</v>
      </c>
      <c r="K531" s="25"/>
    </row>
    <row r="532" s="6" customFormat="1" ht="31" customHeight="1" spans="1:11">
      <c r="A532" s="19">
        <v>528</v>
      </c>
      <c r="B532" s="20" t="s">
        <v>411</v>
      </c>
      <c r="C532" s="20" t="s">
        <v>597</v>
      </c>
      <c r="D532" s="20" t="s">
        <v>602</v>
      </c>
      <c r="E532" s="21" t="s">
        <v>17</v>
      </c>
      <c r="F532" s="20" t="s">
        <v>18</v>
      </c>
      <c r="G532" s="20" t="s">
        <v>19</v>
      </c>
      <c r="H532" s="23">
        <v>45323</v>
      </c>
      <c r="I532" s="19">
        <f>IF(F532="是",VLOOKUP(G532,[133]Sheet2!A:C,3,FALSE),VLOOKUP(G532,[133]Sheet2!A:B,2,FALSE))</f>
        <v>600</v>
      </c>
      <c r="J532" s="24" t="s">
        <v>20</v>
      </c>
      <c r="K532" s="25"/>
    </row>
    <row r="533" s="6" customFormat="1" ht="31" customHeight="1" spans="1:11">
      <c r="A533" s="19">
        <v>529</v>
      </c>
      <c r="B533" s="20" t="s">
        <v>411</v>
      </c>
      <c r="C533" s="20" t="s">
        <v>597</v>
      </c>
      <c r="D533" s="20" t="s">
        <v>603</v>
      </c>
      <c r="E533" s="21" t="s">
        <v>17</v>
      </c>
      <c r="F533" s="20" t="s">
        <v>18</v>
      </c>
      <c r="G533" s="20" t="s">
        <v>19</v>
      </c>
      <c r="H533" s="23">
        <v>45329</v>
      </c>
      <c r="I533" s="19">
        <f>IF(F533="是",VLOOKUP(G533,[133]Sheet2!A:C,3,FALSE),VLOOKUP(G533,[133]Sheet2!A:B,2,FALSE))</f>
        <v>600</v>
      </c>
      <c r="J533" s="24" t="s">
        <v>20</v>
      </c>
      <c r="K533" s="25"/>
    </row>
    <row r="534" s="6" customFormat="1" ht="31" customHeight="1" spans="1:11">
      <c r="A534" s="19">
        <v>530</v>
      </c>
      <c r="B534" s="20" t="s">
        <v>411</v>
      </c>
      <c r="C534" s="20" t="s">
        <v>597</v>
      </c>
      <c r="D534" s="20" t="s">
        <v>604</v>
      </c>
      <c r="E534" s="21" t="s">
        <v>17</v>
      </c>
      <c r="F534" s="20" t="s">
        <v>18</v>
      </c>
      <c r="G534" s="20" t="s">
        <v>55</v>
      </c>
      <c r="H534" s="23">
        <v>45352</v>
      </c>
      <c r="I534" s="19">
        <f>IF(F534="是",VLOOKUP(G534,[133]Sheet2!A:C,3,FALSE),VLOOKUP(G534,[133]Sheet2!A:B,2,FALSE))</f>
        <v>800</v>
      </c>
      <c r="J534" s="24" t="s">
        <v>20</v>
      </c>
      <c r="K534" s="25"/>
    </row>
    <row r="535" s="6" customFormat="1" ht="31" customHeight="1" spans="1:11">
      <c r="A535" s="19">
        <v>531</v>
      </c>
      <c r="B535" s="20" t="s">
        <v>411</v>
      </c>
      <c r="C535" s="20" t="s">
        <v>597</v>
      </c>
      <c r="D535" s="20" t="s">
        <v>605</v>
      </c>
      <c r="E535" s="21" t="s">
        <v>17</v>
      </c>
      <c r="F535" s="20" t="s">
        <v>18</v>
      </c>
      <c r="G535" s="20" t="s">
        <v>19</v>
      </c>
      <c r="H535" s="23">
        <v>45324</v>
      </c>
      <c r="I535" s="19">
        <f>IF(F535="是",VLOOKUP(G535,[133]Sheet2!A:C,3,FALSE),VLOOKUP(G535,[133]Sheet2!A:B,2,FALSE))</f>
        <v>600</v>
      </c>
      <c r="J535" s="24" t="s">
        <v>20</v>
      </c>
      <c r="K535" s="25"/>
    </row>
    <row r="536" s="6" customFormat="1" ht="31" customHeight="1" spans="1:11">
      <c r="A536" s="19">
        <v>532</v>
      </c>
      <c r="B536" s="20" t="s">
        <v>411</v>
      </c>
      <c r="C536" s="20" t="s">
        <v>597</v>
      </c>
      <c r="D536" s="20" t="s">
        <v>606</v>
      </c>
      <c r="E536" s="21" t="s">
        <v>17</v>
      </c>
      <c r="F536" s="20" t="s">
        <v>18</v>
      </c>
      <c r="G536" s="20" t="s">
        <v>19</v>
      </c>
      <c r="H536" s="23">
        <v>45292</v>
      </c>
      <c r="I536" s="19">
        <f>IF(F536="是",VLOOKUP(G536,[133]Sheet2!A:C,3,FALSE),VLOOKUP(G536,[133]Sheet2!A:B,2,FALSE))</f>
        <v>600</v>
      </c>
      <c r="J536" s="24" t="s">
        <v>20</v>
      </c>
      <c r="K536" s="25"/>
    </row>
    <row r="537" s="6" customFormat="1" ht="31" customHeight="1" spans="1:11">
      <c r="A537" s="19">
        <v>533</v>
      </c>
      <c r="B537" s="20" t="s">
        <v>411</v>
      </c>
      <c r="C537" s="20" t="s">
        <v>597</v>
      </c>
      <c r="D537" s="20" t="s">
        <v>607</v>
      </c>
      <c r="E537" s="21" t="s">
        <v>17</v>
      </c>
      <c r="F537" s="20" t="s">
        <v>18</v>
      </c>
      <c r="G537" s="20" t="s">
        <v>19</v>
      </c>
      <c r="H537" s="23">
        <v>45475</v>
      </c>
      <c r="I537" s="19">
        <f>IF(F537="是",VLOOKUP(G537,[133]Sheet2!A:C,3,FALSE),VLOOKUP(G537,[133]Sheet2!A:B,2,FALSE))</f>
        <v>600</v>
      </c>
      <c r="J537" s="24" t="s">
        <v>20</v>
      </c>
      <c r="K537" s="25"/>
    </row>
    <row r="538" s="6" customFormat="1" ht="31" customHeight="1" spans="1:11">
      <c r="A538" s="19">
        <v>534</v>
      </c>
      <c r="B538" s="20" t="s">
        <v>411</v>
      </c>
      <c r="C538" s="20" t="s">
        <v>597</v>
      </c>
      <c r="D538" s="20" t="s">
        <v>608</v>
      </c>
      <c r="E538" s="21" t="s">
        <v>17</v>
      </c>
      <c r="F538" s="20" t="s">
        <v>18</v>
      </c>
      <c r="G538" s="20" t="s">
        <v>455</v>
      </c>
      <c r="H538" s="23">
        <v>45323</v>
      </c>
      <c r="I538" s="19">
        <f>IF(F538="是",VLOOKUP(G538,[133]Sheet2!A:C,3,FALSE),VLOOKUP(G538,[133]Sheet2!A:B,2,FALSE))</f>
        <v>800</v>
      </c>
      <c r="J538" s="24" t="s">
        <v>20</v>
      </c>
      <c r="K538" s="25"/>
    </row>
    <row r="539" s="6" customFormat="1" ht="31" customHeight="1" spans="1:11">
      <c r="A539" s="19">
        <v>535</v>
      </c>
      <c r="B539" s="20" t="s">
        <v>411</v>
      </c>
      <c r="C539" s="20" t="s">
        <v>597</v>
      </c>
      <c r="D539" s="20" t="s">
        <v>609</v>
      </c>
      <c r="E539" s="21" t="s">
        <v>17</v>
      </c>
      <c r="F539" s="20" t="s">
        <v>18</v>
      </c>
      <c r="G539" s="20" t="s">
        <v>118</v>
      </c>
      <c r="H539" s="23">
        <v>45474</v>
      </c>
      <c r="I539" s="19">
        <f>IF(F539="是",VLOOKUP(G539,[133]Sheet2!A:C,3,FALSE),VLOOKUP(G539,[133]Sheet2!A:B,2,FALSE))</f>
        <v>800</v>
      </c>
      <c r="J539" s="24" t="s">
        <v>20</v>
      </c>
      <c r="K539" s="25"/>
    </row>
    <row r="540" s="6" customFormat="1" ht="31" customHeight="1" spans="1:11">
      <c r="A540" s="19">
        <v>536</v>
      </c>
      <c r="B540" s="20" t="s">
        <v>411</v>
      </c>
      <c r="C540" s="20" t="s">
        <v>597</v>
      </c>
      <c r="D540" s="20" t="s">
        <v>610</v>
      </c>
      <c r="E540" s="21" t="s">
        <v>17</v>
      </c>
      <c r="F540" s="20" t="s">
        <v>18</v>
      </c>
      <c r="G540" s="20" t="s">
        <v>32</v>
      </c>
      <c r="H540" s="23">
        <v>45352</v>
      </c>
      <c r="I540" s="19">
        <f>IF(F540="是",VLOOKUP(G540,[133]Sheet2!A:C,3,FALSE),VLOOKUP(G540,[133]Sheet2!A:B,2,FALSE))</f>
        <v>800</v>
      </c>
      <c r="J540" s="24" t="s">
        <v>20</v>
      </c>
      <c r="K540" s="25"/>
    </row>
    <row r="541" s="6" customFormat="1" ht="31" customHeight="1" spans="1:11">
      <c r="A541" s="19">
        <v>537</v>
      </c>
      <c r="B541" s="20" t="s">
        <v>411</v>
      </c>
      <c r="C541" s="20" t="s">
        <v>597</v>
      </c>
      <c r="D541" s="34" t="s">
        <v>611</v>
      </c>
      <c r="E541" s="21" t="s">
        <v>17</v>
      </c>
      <c r="F541" s="20" t="s">
        <v>18</v>
      </c>
      <c r="G541" s="20" t="s">
        <v>32</v>
      </c>
      <c r="H541" s="23">
        <v>45292</v>
      </c>
      <c r="I541" s="19">
        <f>IF(F541="是",VLOOKUP(G541,[133]Sheet2!A:C,3,FALSE),VLOOKUP(G541,[133]Sheet2!A:B,2,FALSE))</f>
        <v>800</v>
      </c>
      <c r="J541" s="24" t="s">
        <v>20</v>
      </c>
      <c r="K541" s="25"/>
    </row>
    <row r="542" s="6" customFormat="1" ht="31" customHeight="1" spans="1:11">
      <c r="A542" s="19">
        <v>538</v>
      </c>
      <c r="B542" s="20" t="s">
        <v>411</v>
      </c>
      <c r="C542" s="20" t="s">
        <v>597</v>
      </c>
      <c r="D542" s="20" t="s">
        <v>612</v>
      </c>
      <c r="E542" s="21" t="s">
        <v>17</v>
      </c>
      <c r="F542" s="20" t="s">
        <v>18</v>
      </c>
      <c r="G542" s="20" t="s">
        <v>19</v>
      </c>
      <c r="H542" s="23">
        <v>45337</v>
      </c>
      <c r="I542" s="19">
        <v>600</v>
      </c>
      <c r="J542" s="24" t="s">
        <v>20</v>
      </c>
      <c r="K542" s="25"/>
    </row>
    <row r="543" s="6" customFormat="1" ht="31" customHeight="1" spans="1:11">
      <c r="A543" s="19">
        <v>539</v>
      </c>
      <c r="B543" s="20" t="s">
        <v>411</v>
      </c>
      <c r="C543" s="20" t="s">
        <v>597</v>
      </c>
      <c r="D543" s="20" t="s">
        <v>613</v>
      </c>
      <c r="E543" s="21" t="s">
        <v>17</v>
      </c>
      <c r="F543" s="20" t="s">
        <v>18</v>
      </c>
      <c r="G543" s="20" t="s">
        <v>19</v>
      </c>
      <c r="H543" s="23">
        <v>45329</v>
      </c>
      <c r="I543" s="19">
        <v>600</v>
      </c>
      <c r="J543" s="24" t="s">
        <v>20</v>
      </c>
      <c r="K543" s="25"/>
    </row>
    <row r="544" s="6" customFormat="1" ht="31" customHeight="1" spans="1:11">
      <c r="A544" s="19">
        <v>540</v>
      </c>
      <c r="B544" s="20" t="s">
        <v>411</v>
      </c>
      <c r="C544" s="20" t="s">
        <v>614</v>
      </c>
      <c r="D544" s="20" t="s">
        <v>615</v>
      </c>
      <c r="E544" s="21" t="s">
        <v>17</v>
      </c>
      <c r="F544" s="20" t="s">
        <v>18</v>
      </c>
      <c r="G544" s="20" t="s">
        <v>19</v>
      </c>
      <c r="H544" s="23">
        <v>45342</v>
      </c>
      <c r="I544" s="19">
        <f>IF(F544="是",VLOOKUP(G544,[135]Sheet2!A:C,3,FALSE),VLOOKUP(G544,[135]Sheet2!A:B,2,FALSE))</f>
        <v>600</v>
      </c>
      <c r="J544" s="24" t="s">
        <v>20</v>
      </c>
      <c r="K544" s="25"/>
    </row>
    <row r="545" s="6" customFormat="1" ht="31" customHeight="1" spans="1:11">
      <c r="A545" s="19">
        <v>541</v>
      </c>
      <c r="B545" s="20" t="s">
        <v>411</v>
      </c>
      <c r="C545" s="20" t="s">
        <v>614</v>
      </c>
      <c r="D545" s="34" t="s">
        <v>616</v>
      </c>
      <c r="E545" s="21" t="s">
        <v>17</v>
      </c>
      <c r="F545" s="20" t="s">
        <v>18</v>
      </c>
      <c r="G545" s="20" t="s">
        <v>19</v>
      </c>
      <c r="H545" s="23">
        <v>45358</v>
      </c>
      <c r="I545" s="19">
        <f>IF(F545="是",VLOOKUP(G545,[135]Sheet2!A:C,3,FALSE),VLOOKUP(G545,[135]Sheet2!A:B,2,FALSE))</f>
        <v>600</v>
      </c>
      <c r="J545" s="24" t="s">
        <v>20</v>
      </c>
      <c r="K545" s="25"/>
    </row>
    <row r="546" s="6" customFormat="1" ht="31" customHeight="1" spans="1:11">
      <c r="A546" s="19">
        <v>542</v>
      </c>
      <c r="B546" s="20" t="s">
        <v>411</v>
      </c>
      <c r="C546" s="20" t="s">
        <v>614</v>
      </c>
      <c r="D546" s="20" t="s">
        <v>617</v>
      </c>
      <c r="E546" s="21" t="s">
        <v>17</v>
      </c>
      <c r="F546" s="20" t="s">
        <v>18</v>
      </c>
      <c r="G546" s="20" t="s">
        <v>19</v>
      </c>
      <c r="H546" s="23">
        <v>45343</v>
      </c>
      <c r="I546" s="19">
        <f>IF(F546="是",VLOOKUP(G546,[135]Sheet2!A:C,3,FALSE),VLOOKUP(G546,[135]Sheet2!A:B,2,FALSE))</f>
        <v>600</v>
      </c>
      <c r="J546" s="24" t="s">
        <v>20</v>
      </c>
      <c r="K546" s="25"/>
    </row>
    <row r="547" s="6" customFormat="1" ht="31" customHeight="1" spans="1:11">
      <c r="A547" s="19">
        <v>543</v>
      </c>
      <c r="B547" s="20" t="s">
        <v>411</v>
      </c>
      <c r="C547" s="20" t="s">
        <v>614</v>
      </c>
      <c r="D547" s="20" t="s">
        <v>618</v>
      </c>
      <c r="E547" s="21" t="s">
        <v>17</v>
      </c>
      <c r="F547" s="20" t="s">
        <v>18</v>
      </c>
      <c r="G547" s="20" t="s">
        <v>19</v>
      </c>
      <c r="H547" s="23">
        <v>45341</v>
      </c>
      <c r="I547" s="19">
        <f>IF(F547="是",VLOOKUP(G547,[135]Sheet2!A:C,3,FALSE),VLOOKUP(G547,[135]Sheet2!A:B,2,FALSE))</f>
        <v>600</v>
      </c>
      <c r="J547" s="24" t="s">
        <v>20</v>
      </c>
      <c r="K547" s="25"/>
    </row>
    <row r="548" s="6" customFormat="1" ht="31" customHeight="1" spans="1:11">
      <c r="A548" s="19">
        <v>544</v>
      </c>
      <c r="B548" s="20" t="s">
        <v>411</v>
      </c>
      <c r="C548" s="20" t="s">
        <v>614</v>
      </c>
      <c r="D548" s="20" t="s">
        <v>619</v>
      </c>
      <c r="E548" s="21" t="s">
        <v>17</v>
      </c>
      <c r="F548" s="20" t="s">
        <v>18</v>
      </c>
      <c r="G548" s="20" t="s">
        <v>19</v>
      </c>
      <c r="H548" s="23">
        <v>45341</v>
      </c>
      <c r="I548" s="19">
        <f>IF(F548="是",VLOOKUP(G548,[135]Sheet2!A:C,3,FALSE),VLOOKUP(G548,[135]Sheet2!A:B,2,FALSE))</f>
        <v>600</v>
      </c>
      <c r="J548" s="24" t="s">
        <v>20</v>
      </c>
      <c r="K548" s="25"/>
    </row>
    <row r="549" s="6" customFormat="1" ht="31" customHeight="1" spans="1:11">
      <c r="A549" s="19">
        <v>545</v>
      </c>
      <c r="B549" s="20" t="s">
        <v>411</v>
      </c>
      <c r="C549" s="20" t="s">
        <v>614</v>
      </c>
      <c r="D549" s="20" t="s">
        <v>620</v>
      </c>
      <c r="E549" s="21" t="s">
        <v>17</v>
      </c>
      <c r="F549" s="20" t="s">
        <v>18</v>
      </c>
      <c r="G549" s="20" t="s">
        <v>19</v>
      </c>
      <c r="H549" s="23">
        <v>45341</v>
      </c>
      <c r="I549" s="19">
        <f>IF(F549="是",VLOOKUP(G549,[135]Sheet2!A:C,3,FALSE),VLOOKUP(G549,[135]Sheet2!A:B,2,FALSE))</f>
        <v>600</v>
      </c>
      <c r="J549" s="24" t="s">
        <v>20</v>
      </c>
      <c r="K549" s="25"/>
    </row>
    <row r="550" s="6" customFormat="1" ht="31" customHeight="1" spans="1:11">
      <c r="A550" s="19">
        <v>546</v>
      </c>
      <c r="B550" s="20" t="s">
        <v>411</v>
      </c>
      <c r="C550" s="20" t="s">
        <v>614</v>
      </c>
      <c r="D550" s="20" t="s">
        <v>621</v>
      </c>
      <c r="E550" s="21" t="s">
        <v>17</v>
      </c>
      <c r="F550" s="20" t="s">
        <v>18</v>
      </c>
      <c r="G550" s="20" t="s">
        <v>32</v>
      </c>
      <c r="H550" s="23">
        <v>45342</v>
      </c>
      <c r="I550" s="19">
        <f>IF(F550="是",VLOOKUP(G550,[135]Sheet2!A:C,3,FALSE),VLOOKUP(G550,[135]Sheet2!A:B,2,FALSE))</f>
        <v>800</v>
      </c>
      <c r="J550" s="24" t="s">
        <v>20</v>
      </c>
      <c r="K550" s="25"/>
    </row>
    <row r="551" s="6" customFormat="1" ht="31" customHeight="1" spans="1:11">
      <c r="A551" s="19">
        <v>547</v>
      </c>
      <c r="B551" s="20" t="s">
        <v>411</v>
      </c>
      <c r="C551" s="20" t="s">
        <v>614</v>
      </c>
      <c r="D551" s="20" t="s">
        <v>622</v>
      </c>
      <c r="E551" s="21" t="s">
        <v>17</v>
      </c>
      <c r="F551" s="20" t="s">
        <v>18</v>
      </c>
      <c r="G551" s="20" t="s">
        <v>32</v>
      </c>
      <c r="H551" s="23">
        <v>45342</v>
      </c>
      <c r="I551" s="19">
        <f>IF(F551="是",VLOOKUP(G551,[135]Sheet2!A:C,3,FALSE),VLOOKUP(G551,[135]Sheet2!A:B,2,FALSE))</f>
        <v>800</v>
      </c>
      <c r="J551" s="24" t="s">
        <v>20</v>
      </c>
      <c r="K551" s="25"/>
    </row>
    <row r="552" s="6" customFormat="1" ht="31" customHeight="1" spans="1:11">
      <c r="A552" s="19">
        <v>548</v>
      </c>
      <c r="B552" s="20" t="s">
        <v>411</v>
      </c>
      <c r="C552" s="20" t="s">
        <v>614</v>
      </c>
      <c r="D552" s="20" t="s">
        <v>623</v>
      </c>
      <c r="E552" s="21" t="s">
        <v>17</v>
      </c>
      <c r="F552" s="20" t="s">
        <v>18</v>
      </c>
      <c r="G552" s="20" t="s">
        <v>19</v>
      </c>
      <c r="H552" s="23">
        <v>45348</v>
      </c>
      <c r="I552" s="19">
        <f>IF(F552="是",VLOOKUP(G552,[135]Sheet2!A:C,3,FALSE),VLOOKUP(G552,[135]Sheet2!A:B,2,FALSE))</f>
        <v>600</v>
      </c>
      <c r="J552" s="24" t="s">
        <v>20</v>
      </c>
      <c r="K552" s="25"/>
    </row>
    <row r="553" s="6" customFormat="1" ht="31" customHeight="1" spans="1:11">
      <c r="A553" s="19">
        <v>549</v>
      </c>
      <c r="B553" s="20" t="s">
        <v>411</v>
      </c>
      <c r="C553" s="20" t="s">
        <v>614</v>
      </c>
      <c r="D553" s="20" t="s">
        <v>624</v>
      </c>
      <c r="E553" s="21" t="s">
        <v>17</v>
      </c>
      <c r="F553" s="20" t="s">
        <v>18</v>
      </c>
      <c r="G553" s="20" t="s">
        <v>19</v>
      </c>
      <c r="H553" s="23">
        <v>45348</v>
      </c>
      <c r="I553" s="19">
        <f>IF(F553="是",VLOOKUP(G553,[135]Sheet2!A:C,3,FALSE),VLOOKUP(G553,[135]Sheet2!A:B,2,FALSE))</f>
        <v>600</v>
      </c>
      <c r="J553" s="24" t="s">
        <v>20</v>
      </c>
      <c r="K553" s="25"/>
    </row>
    <row r="554" s="6" customFormat="1" ht="31" customHeight="1" spans="1:11">
      <c r="A554" s="19">
        <v>550</v>
      </c>
      <c r="B554" s="20" t="s">
        <v>411</v>
      </c>
      <c r="C554" s="20" t="s">
        <v>614</v>
      </c>
      <c r="D554" s="20" t="s">
        <v>625</v>
      </c>
      <c r="E554" s="21" t="s">
        <v>17</v>
      </c>
      <c r="F554" s="20" t="s">
        <v>18</v>
      </c>
      <c r="G554" s="20" t="s">
        <v>98</v>
      </c>
      <c r="H554" s="23">
        <v>45411</v>
      </c>
      <c r="I554" s="19">
        <f>IF(F554="是",VLOOKUP(G554,[135]Sheet2!A:C,3,FALSE),VLOOKUP(G554,[135]Sheet2!A:B,2,FALSE))</f>
        <v>800</v>
      </c>
      <c r="J554" s="24" t="s">
        <v>20</v>
      </c>
      <c r="K554" s="25"/>
    </row>
    <row r="555" s="6" customFormat="1" ht="31" customHeight="1" spans="1:11">
      <c r="A555" s="19">
        <v>551</v>
      </c>
      <c r="B555" s="20" t="s">
        <v>411</v>
      </c>
      <c r="C555" s="20" t="s">
        <v>614</v>
      </c>
      <c r="D555" s="20" t="s">
        <v>626</v>
      </c>
      <c r="E555" s="21" t="s">
        <v>17</v>
      </c>
      <c r="F555" s="20" t="s">
        <v>18</v>
      </c>
      <c r="G555" s="20" t="s">
        <v>32</v>
      </c>
      <c r="H555" s="23">
        <v>45389</v>
      </c>
      <c r="I555" s="19">
        <f>IF(F555="是",VLOOKUP(G555,[135]Sheet2!A:C,3,FALSE),VLOOKUP(G555,[135]Sheet2!A:B,2,FALSE))</f>
        <v>800</v>
      </c>
      <c r="J555" s="24" t="s">
        <v>20</v>
      </c>
      <c r="K555" s="25"/>
    </row>
    <row r="556" s="6" customFormat="1" ht="31" customHeight="1" spans="1:11">
      <c r="A556" s="19">
        <v>552</v>
      </c>
      <c r="B556" s="20" t="s">
        <v>411</v>
      </c>
      <c r="C556" s="20" t="s">
        <v>614</v>
      </c>
      <c r="D556" s="20" t="s">
        <v>627</v>
      </c>
      <c r="E556" s="21" t="s">
        <v>17</v>
      </c>
      <c r="F556" s="20" t="s">
        <v>18</v>
      </c>
      <c r="G556" s="20" t="s">
        <v>19</v>
      </c>
      <c r="H556" s="23">
        <v>45352</v>
      </c>
      <c r="I556" s="19">
        <f>IF(F556="是",VLOOKUP(G556,[135]Sheet2!A:C,3,FALSE),VLOOKUP(G556,[135]Sheet2!A:B,2,FALSE))</f>
        <v>600</v>
      </c>
      <c r="J556" s="24" t="s">
        <v>20</v>
      </c>
      <c r="K556" s="25"/>
    </row>
    <row r="557" s="6" customFormat="1" ht="31" customHeight="1" spans="1:11">
      <c r="A557" s="19">
        <v>553</v>
      </c>
      <c r="B557" s="20" t="s">
        <v>411</v>
      </c>
      <c r="C557" s="20" t="s">
        <v>614</v>
      </c>
      <c r="D557" s="20" t="s">
        <v>628</v>
      </c>
      <c r="E557" s="21" t="s">
        <v>17</v>
      </c>
      <c r="F557" s="20" t="s">
        <v>18</v>
      </c>
      <c r="G557" s="20" t="s">
        <v>19</v>
      </c>
      <c r="H557" s="23">
        <v>45352</v>
      </c>
      <c r="I557" s="19">
        <f>IF(F557="是",VLOOKUP(G557,[135]Sheet2!A:C,3,FALSE),VLOOKUP(G557,[135]Sheet2!A:B,2,FALSE))</f>
        <v>600</v>
      </c>
      <c r="J557" s="24" t="s">
        <v>20</v>
      </c>
      <c r="K557" s="25"/>
    </row>
    <row r="558" s="6" customFormat="1" ht="31" customHeight="1" spans="1:11">
      <c r="A558" s="19">
        <v>554</v>
      </c>
      <c r="B558" s="20" t="s">
        <v>411</v>
      </c>
      <c r="C558" s="20" t="s">
        <v>614</v>
      </c>
      <c r="D558" s="20" t="s">
        <v>629</v>
      </c>
      <c r="E558" s="21" t="s">
        <v>17</v>
      </c>
      <c r="F558" s="20" t="s">
        <v>18</v>
      </c>
      <c r="G558" s="20" t="s">
        <v>32</v>
      </c>
      <c r="H558" s="23">
        <v>45366</v>
      </c>
      <c r="I558" s="35">
        <f>IF(F558="是",VLOOKUP(G558,[135]Sheet2!A:C,3,FALSE),VLOOKUP(G558,[135]Sheet2!A:B,2,FALSE))</f>
        <v>800</v>
      </c>
      <c r="J558" s="24" t="s">
        <v>20</v>
      </c>
      <c r="K558" s="25"/>
    </row>
    <row r="559" s="6" customFormat="1" ht="31" customHeight="1" spans="1:11">
      <c r="A559" s="19">
        <v>555</v>
      </c>
      <c r="B559" s="20" t="s">
        <v>411</v>
      </c>
      <c r="C559" s="20" t="s">
        <v>614</v>
      </c>
      <c r="D559" s="20" t="s">
        <v>630</v>
      </c>
      <c r="E559" s="21" t="s">
        <v>17</v>
      </c>
      <c r="F559" s="20" t="s">
        <v>18</v>
      </c>
      <c r="G559" s="20" t="s">
        <v>19</v>
      </c>
      <c r="H559" s="23">
        <v>45340</v>
      </c>
      <c r="I559" s="19">
        <f>IF(F559="是",VLOOKUP(G559,[135]Sheet2!A:C,3,FALSE),VLOOKUP(G559,[135]Sheet2!A:B,2,FALSE))</f>
        <v>600</v>
      </c>
      <c r="J559" s="24" t="s">
        <v>20</v>
      </c>
      <c r="K559" s="25"/>
    </row>
    <row r="560" s="6" customFormat="1" ht="31" customHeight="1" spans="1:11">
      <c r="A560" s="19">
        <v>556</v>
      </c>
      <c r="B560" s="20" t="s">
        <v>411</v>
      </c>
      <c r="C560" s="20" t="s">
        <v>614</v>
      </c>
      <c r="D560" s="20" t="s">
        <v>631</v>
      </c>
      <c r="E560" s="21" t="s">
        <v>17</v>
      </c>
      <c r="F560" s="20" t="s">
        <v>18</v>
      </c>
      <c r="G560" s="20" t="s">
        <v>19</v>
      </c>
      <c r="H560" s="23">
        <v>45349</v>
      </c>
      <c r="I560" s="19">
        <f>IF(F560="是",VLOOKUP(G560,[135]Sheet2!A:C,3,FALSE),VLOOKUP(G560,[135]Sheet2!A:B,2,FALSE))</f>
        <v>600</v>
      </c>
      <c r="J560" s="24" t="s">
        <v>20</v>
      </c>
      <c r="K560" s="25"/>
    </row>
    <row r="561" s="6" customFormat="1" ht="31" customHeight="1" spans="1:11">
      <c r="A561" s="19">
        <v>557</v>
      </c>
      <c r="B561" s="20" t="s">
        <v>411</v>
      </c>
      <c r="C561" s="20" t="s">
        <v>614</v>
      </c>
      <c r="D561" s="20" t="s">
        <v>632</v>
      </c>
      <c r="E561" s="21" t="s">
        <v>17</v>
      </c>
      <c r="F561" s="20" t="s">
        <v>18</v>
      </c>
      <c r="G561" s="20" t="s">
        <v>19</v>
      </c>
      <c r="H561" s="23">
        <v>45356</v>
      </c>
      <c r="I561" s="19">
        <f>IF(F561="是",VLOOKUP(G561,[135]Sheet2!A:C,3,FALSE),VLOOKUP(G561,[135]Sheet2!A:B,2,FALSE))</f>
        <v>600</v>
      </c>
      <c r="J561" s="24" t="s">
        <v>20</v>
      </c>
      <c r="K561" s="25"/>
    </row>
    <row r="562" s="6" customFormat="1" ht="31" customHeight="1" spans="1:11">
      <c r="A562" s="19">
        <v>558</v>
      </c>
      <c r="B562" s="20" t="s">
        <v>411</v>
      </c>
      <c r="C562" s="20" t="s">
        <v>614</v>
      </c>
      <c r="D562" s="20" t="s">
        <v>633</v>
      </c>
      <c r="E562" s="21" t="s">
        <v>17</v>
      </c>
      <c r="F562" s="20" t="s">
        <v>18</v>
      </c>
      <c r="G562" s="20" t="s">
        <v>19</v>
      </c>
      <c r="H562" s="23">
        <v>45418</v>
      </c>
      <c r="I562" s="19">
        <f>IF(F562="是",VLOOKUP(G562,[135]Sheet2!A:C,3,FALSE),VLOOKUP(G562,[135]Sheet2!A:B,2,FALSE))</f>
        <v>600</v>
      </c>
      <c r="J562" s="24" t="s">
        <v>20</v>
      </c>
      <c r="K562" s="25"/>
    </row>
    <row r="563" s="6" customFormat="1" ht="31" customHeight="1" spans="1:11">
      <c r="A563" s="19">
        <v>559</v>
      </c>
      <c r="B563" s="20" t="s">
        <v>411</v>
      </c>
      <c r="C563" s="20" t="s">
        <v>614</v>
      </c>
      <c r="D563" s="20" t="s">
        <v>634</v>
      </c>
      <c r="E563" s="21" t="s">
        <v>17</v>
      </c>
      <c r="F563" s="20" t="s">
        <v>18</v>
      </c>
      <c r="G563" s="20" t="s">
        <v>19</v>
      </c>
      <c r="H563" s="23">
        <v>45341</v>
      </c>
      <c r="I563" s="19">
        <v>600</v>
      </c>
      <c r="J563" s="24" t="s">
        <v>20</v>
      </c>
      <c r="K563" s="25"/>
    </row>
    <row r="564" s="6" customFormat="1" ht="31" customHeight="1" spans="1:11">
      <c r="A564" s="19">
        <v>560</v>
      </c>
      <c r="B564" s="20" t="s">
        <v>411</v>
      </c>
      <c r="C564" s="20" t="s">
        <v>614</v>
      </c>
      <c r="D564" s="20" t="s">
        <v>635</v>
      </c>
      <c r="E564" s="21" t="s">
        <v>17</v>
      </c>
      <c r="F564" s="20" t="s">
        <v>18</v>
      </c>
      <c r="G564" s="20" t="s">
        <v>19</v>
      </c>
      <c r="H564" s="23">
        <v>45347</v>
      </c>
      <c r="I564" s="19">
        <v>600</v>
      </c>
      <c r="J564" s="24" t="s">
        <v>20</v>
      </c>
      <c r="K564" s="25"/>
    </row>
    <row r="565" s="6" customFormat="1" ht="31" customHeight="1" spans="1:11">
      <c r="A565" s="19">
        <v>561</v>
      </c>
      <c r="B565" s="20" t="s">
        <v>411</v>
      </c>
      <c r="C565" s="20" t="s">
        <v>614</v>
      </c>
      <c r="D565" s="20" t="s">
        <v>636</v>
      </c>
      <c r="E565" s="21" t="s">
        <v>17</v>
      </c>
      <c r="F565" s="20" t="s">
        <v>18</v>
      </c>
      <c r="G565" s="20" t="s">
        <v>19</v>
      </c>
      <c r="H565" s="23">
        <v>45435</v>
      </c>
      <c r="I565" s="19">
        <v>600</v>
      </c>
      <c r="J565" s="24" t="s">
        <v>20</v>
      </c>
      <c r="K565" s="25"/>
    </row>
    <row r="566" s="6" customFormat="1" ht="31" customHeight="1" spans="1:11">
      <c r="A566" s="19">
        <v>562</v>
      </c>
      <c r="B566" s="20" t="s">
        <v>411</v>
      </c>
      <c r="C566" s="20" t="s">
        <v>614</v>
      </c>
      <c r="D566" s="20" t="s">
        <v>637</v>
      </c>
      <c r="E566" s="21" t="s">
        <v>17</v>
      </c>
      <c r="F566" s="20" t="s">
        <v>18</v>
      </c>
      <c r="G566" s="20" t="s">
        <v>19</v>
      </c>
      <c r="H566" s="23">
        <v>45341</v>
      </c>
      <c r="I566" s="19">
        <v>600</v>
      </c>
      <c r="J566" s="24" t="s">
        <v>20</v>
      </c>
      <c r="K566" s="25"/>
    </row>
    <row r="567" s="6" customFormat="1" ht="31" customHeight="1" spans="1:11">
      <c r="A567" s="19">
        <v>563</v>
      </c>
      <c r="B567" s="20" t="s">
        <v>411</v>
      </c>
      <c r="C567" s="20" t="s">
        <v>614</v>
      </c>
      <c r="D567" s="20" t="s">
        <v>638</v>
      </c>
      <c r="E567" s="21" t="s">
        <v>17</v>
      </c>
      <c r="F567" s="20" t="s">
        <v>18</v>
      </c>
      <c r="G567" s="20" t="s">
        <v>19</v>
      </c>
      <c r="H567" s="23">
        <v>45444</v>
      </c>
      <c r="I567" s="19">
        <v>600</v>
      </c>
      <c r="J567" s="24" t="s">
        <v>20</v>
      </c>
      <c r="K567" s="25"/>
    </row>
    <row r="568" s="6" customFormat="1" ht="31" customHeight="1" spans="1:11">
      <c r="A568" s="19">
        <v>564</v>
      </c>
      <c r="B568" s="20" t="s">
        <v>411</v>
      </c>
      <c r="C568" s="20" t="s">
        <v>614</v>
      </c>
      <c r="D568" s="20" t="s">
        <v>639</v>
      </c>
      <c r="E568" s="21" t="s">
        <v>17</v>
      </c>
      <c r="F568" s="20" t="s">
        <v>18</v>
      </c>
      <c r="G568" s="20" t="s">
        <v>19</v>
      </c>
      <c r="H568" s="23">
        <v>45387</v>
      </c>
      <c r="I568" s="19">
        <v>600</v>
      </c>
      <c r="J568" s="24" t="s">
        <v>20</v>
      </c>
      <c r="K568" s="25"/>
    </row>
    <row r="569" s="6" customFormat="1" ht="31" customHeight="1" spans="1:11">
      <c r="A569" s="19">
        <v>565</v>
      </c>
      <c r="B569" s="20" t="s">
        <v>411</v>
      </c>
      <c r="C569" s="20" t="s">
        <v>614</v>
      </c>
      <c r="D569" s="20" t="s">
        <v>640</v>
      </c>
      <c r="E569" s="21" t="s">
        <v>17</v>
      </c>
      <c r="F569" s="20" t="s">
        <v>18</v>
      </c>
      <c r="G569" s="20" t="s">
        <v>19</v>
      </c>
      <c r="H569" s="23">
        <v>45387</v>
      </c>
      <c r="I569" s="19">
        <v>600</v>
      </c>
      <c r="J569" s="24" t="s">
        <v>20</v>
      </c>
      <c r="K569" s="25"/>
    </row>
    <row r="570" s="6" customFormat="1" ht="31" customHeight="1" spans="1:11">
      <c r="A570" s="19">
        <v>566</v>
      </c>
      <c r="B570" s="20" t="s">
        <v>411</v>
      </c>
      <c r="C570" s="20" t="s">
        <v>614</v>
      </c>
      <c r="D570" s="20" t="s">
        <v>641</v>
      </c>
      <c r="E570" s="21" t="s">
        <v>17</v>
      </c>
      <c r="F570" s="20" t="s">
        <v>18</v>
      </c>
      <c r="G570" s="20" t="s">
        <v>19</v>
      </c>
      <c r="H570" s="23">
        <v>45341</v>
      </c>
      <c r="I570" s="19">
        <f>IF(F570="是",VLOOKUP(G570,[134]Sheet2!A:C,3,FALSE),VLOOKUP(G570,[134]Sheet2!A:B,2,FALSE))</f>
        <v>600</v>
      </c>
      <c r="J570" s="24" t="s">
        <v>20</v>
      </c>
      <c r="K570" s="25"/>
    </row>
    <row r="571" s="6" customFormat="1" ht="31" customHeight="1" spans="1:11">
      <c r="A571" s="19">
        <v>567</v>
      </c>
      <c r="B571" s="20" t="s">
        <v>411</v>
      </c>
      <c r="C571" s="20" t="s">
        <v>614</v>
      </c>
      <c r="D571" s="20" t="s">
        <v>642</v>
      </c>
      <c r="E571" s="21" t="s">
        <v>17</v>
      </c>
      <c r="F571" s="20" t="s">
        <v>18</v>
      </c>
      <c r="G571" s="20" t="s">
        <v>19</v>
      </c>
      <c r="H571" s="23">
        <v>45380</v>
      </c>
      <c r="I571" s="19">
        <f>IF(F571="是",VLOOKUP(G571,[134]Sheet2!A:C,3,FALSE),VLOOKUP(G571,[134]Sheet2!A:B,2,FALSE))</f>
        <v>600</v>
      </c>
      <c r="J571" s="24" t="s">
        <v>20</v>
      </c>
      <c r="K571" s="25"/>
    </row>
    <row r="572" s="6" customFormat="1" ht="31" customHeight="1" spans="1:11">
      <c r="A572" s="19">
        <v>568</v>
      </c>
      <c r="B572" s="20" t="s">
        <v>411</v>
      </c>
      <c r="C572" s="20" t="s">
        <v>614</v>
      </c>
      <c r="D572" s="20" t="s">
        <v>643</v>
      </c>
      <c r="E572" s="21" t="s">
        <v>17</v>
      </c>
      <c r="F572" s="20" t="s">
        <v>18</v>
      </c>
      <c r="G572" s="20" t="s">
        <v>19</v>
      </c>
      <c r="H572" s="23">
        <v>45378</v>
      </c>
      <c r="I572" s="19">
        <f>IF(F572="是",VLOOKUP(G572,[134]Sheet2!A:C,3,FALSE),VLOOKUP(G572,[134]Sheet2!A:B,2,FALSE))</f>
        <v>600</v>
      </c>
      <c r="J572" s="24" t="s">
        <v>20</v>
      </c>
      <c r="K572" s="25"/>
    </row>
    <row r="573" s="6" customFormat="1" ht="31" customHeight="1" spans="1:11">
      <c r="A573" s="19">
        <v>569</v>
      </c>
      <c r="B573" s="20" t="s">
        <v>411</v>
      </c>
      <c r="C573" s="20" t="s">
        <v>644</v>
      </c>
      <c r="D573" s="20" t="s">
        <v>645</v>
      </c>
      <c r="E573" s="21" t="s">
        <v>17</v>
      </c>
      <c r="F573" s="20" t="s">
        <v>18</v>
      </c>
      <c r="G573" s="20" t="s">
        <v>19</v>
      </c>
      <c r="H573" s="23">
        <v>45323</v>
      </c>
      <c r="I573" s="19">
        <f>IF(F573="是",VLOOKUP(G573,[140]Sheet2!A:C,3,FALSE),VLOOKUP(G573,[140]Sheet2!A:B,2,FALSE))</f>
        <v>600</v>
      </c>
      <c r="J573" s="24" t="s">
        <v>20</v>
      </c>
      <c r="K573" s="25"/>
    </row>
    <row r="574" s="6" customFormat="1" ht="31" customHeight="1" spans="1:11">
      <c r="A574" s="19">
        <v>570</v>
      </c>
      <c r="B574" s="20" t="s">
        <v>411</v>
      </c>
      <c r="C574" s="20" t="s">
        <v>644</v>
      </c>
      <c r="D574" s="20" t="s">
        <v>646</v>
      </c>
      <c r="E574" s="21" t="s">
        <v>17</v>
      </c>
      <c r="F574" s="20" t="s">
        <v>18</v>
      </c>
      <c r="G574" s="20" t="s">
        <v>19</v>
      </c>
      <c r="H574" s="23">
        <v>45323</v>
      </c>
      <c r="I574" s="19">
        <f>IF(F574="是",VLOOKUP(G574,[140]Sheet2!A:C,3,FALSE),VLOOKUP(G574,[140]Sheet2!A:B,2,FALSE))</f>
        <v>600</v>
      </c>
      <c r="J574" s="24" t="s">
        <v>20</v>
      </c>
      <c r="K574" s="25"/>
    </row>
    <row r="575" s="6" customFormat="1" ht="31" customHeight="1" spans="1:11">
      <c r="A575" s="19">
        <v>571</v>
      </c>
      <c r="B575" s="20" t="s">
        <v>411</v>
      </c>
      <c r="C575" s="20" t="s">
        <v>644</v>
      </c>
      <c r="D575" s="20" t="s">
        <v>647</v>
      </c>
      <c r="E575" s="21" t="s">
        <v>17</v>
      </c>
      <c r="F575" s="20" t="s">
        <v>18</v>
      </c>
      <c r="G575" s="20" t="s">
        <v>19</v>
      </c>
      <c r="H575" s="23">
        <v>45323</v>
      </c>
      <c r="I575" s="19">
        <f>IF(F575="是",VLOOKUP(G575,[140]Sheet2!A:C,3,FALSE),VLOOKUP(G575,[140]Sheet2!A:B,2,FALSE))</f>
        <v>600</v>
      </c>
      <c r="J575" s="24" t="s">
        <v>20</v>
      </c>
      <c r="K575" s="25"/>
    </row>
    <row r="576" s="6" customFormat="1" ht="31" customHeight="1" spans="1:11">
      <c r="A576" s="19">
        <v>572</v>
      </c>
      <c r="B576" s="20" t="s">
        <v>411</v>
      </c>
      <c r="C576" s="20" t="s">
        <v>644</v>
      </c>
      <c r="D576" s="20" t="s">
        <v>648</v>
      </c>
      <c r="E576" s="21" t="s">
        <v>17</v>
      </c>
      <c r="F576" s="20" t="s">
        <v>18</v>
      </c>
      <c r="G576" s="20" t="s">
        <v>19</v>
      </c>
      <c r="H576" s="23">
        <v>45323</v>
      </c>
      <c r="I576" s="19">
        <f>IF(F576="是",VLOOKUP(G576,[140]Sheet2!A:C,3,FALSE),VLOOKUP(G576,[140]Sheet2!A:B,2,FALSE))</f>
        <v>600</v>
      </c>
      <c r="J576" s="24" t="s">
        <v>20</v>
      </c>
      <c r="K576" s="25"/>
    </row>
    <row r="577" s="6" customFormat="1" ht="31" customHeight="1" spans="1:11">
      <c r="A577" s="19">
        <v>573</v>
      </c>
      <c r="B577" s="20" t="s">
        <v>411</v>
      </c>
      <c r="C577" s="20" t="s">
        <v>644</v>
      </c>
      <c r="D577" s="20" t="s">
        <v>649</v>
      </c>
      <c r="E577" s="21" t="s">
        <v>17</v>
      </c>
      <c r="F577" s="20" t="s">
        <v>18</v>
      </c>
      <c r="G577" s="20" t="s">
        <v>19</v>
      </c>
      <c r="H577" s="23">
        <v>45323</v>
      </c>
      <c r="I577" s="19">
        <f>IF(F577="是",VLOOKUP(G577,[140]Sheet2!A:C,3,FALSE),VLOOKUP(G577,[140]Sheet2!A:B,2,FALSE))</f>
        <v>600</v>
      </c>
      <c r="J577" s="24" t="s">
        <v>20</v>
      </c>
      <c r="K577" s="25"/>
    </row>
    <row r="578" s="6" customFormat="1" ht="31" customHeight="1" spans="1:11">
      <c r="A578" s="19">
        <v>574</v>
      </c>
      <c r="B578" s="20" t="s">
        <v>411</v>
      </c>
      <c r="C578" s="20" t="s">
        <v>644</v>
      </c>
      <c r="D578" s="20" t="s">
        <v>650</v>
      </c>
      <c r="E578" s="21" t="s">
        <v>17</v>
      </c>
      <c r="F578" s="20" t="s">
        <v>18</v>
      </c>
      <c r="G578" s="20" t="s">
        <v>19</v>
      </c>
      <c r="H578" s="23">
        <v>45323</v>
      </c>
      <c r="I578" s="19">
        <f>IF(F578="是",VLOOKUP(G578,[93]Sheet2!A:C,3,FALSE),VLOOKUP(G578,[93]Sheet2!A:B,2,FALSE))</f>
        <v>600</v>
      </c>
      <c r="J578" s="24" t="s">
        <v>20</v>
      </c>
      <c r="K578" s="25"/>
    </row>
    <row r="579" s="6" customFormat="1" ht="31" customHeight="1" spans="1:11">
      <c r="A579" s="19">
        <v>575</v>
      </c>
      <c r="B579" s="20" t="s">
        <v>411</v>
      </c>
      <c r="C579" s="20" t="s">
        <v>644</v>
      </c>
      <c r="D579" s="20" t="s">
        <v>651</v>
      </c>
      <c r="E579" s="21" t="s">
        <v>17</v>
      </c>
      <c r="F579" s="20" t="s">
        <v>18</v>
      </c>
      <c r="G579" s="20" t="s">
        <v>19</v>
      </c>
      <c r="H579" s="23">
        <v>45323</v>
      </c>
      <c r="I579" s="19">
        <f>IF(F579="是",VLOOKUP(G579,[93]Sheet2!A:C,3,FALSE),VLOOKUP(G579,[93]Sheet2!A:B,2,FALSE))</f>
        <v>600</v>
      </c>
      <c r="J579" s="24" t="s">
        <v>20</v>
      </c>
      <c r="K579" s="25"/>
    </row>
    <row r="580" s="6" customFormat="1" ht="31" customHeight="1" spans="1:11">
      <c r="A580" s="19">
        <v>576</v>
      </c>
      <c r="B580" s="20" t="s">
        <v>411</v>
      </c>
      <c r="C580" s="20" t="s">
        <v>644</v>
      </c>
      <c r="D580" s="20" t="s">
        <v>652</v>
      </c>
      <c r="E580" s="21" t="s">
        <v>17</v>
      </c>
      <c r="F580" s="20" t="s">
        <v>18</v>
      </c>
      <c r="G580" s="20" t="s">
        <v>19</v>
      </c>
      <c r="H580" s="23">
        <v>45323</v>
      </c>
      <c r="I580" s="19">
        <f>IF(F580="是",VLOOKUP(G580,[93]Sheet2!A:C,3,FALSE),VLOOKUP(G580,[93]Sheet2!A:B,2,FALSE))</f>
        <v>600</v>
      </c>
      <c r="J580" s="24" t="s">
        <v>20</v>
      </c>
      <c r="K580" s="25"/>
    </row>
    <row r="581" s="6" customFormat="1" ht="31" customHeight="1" spans="1:11">
      <c r="A581" s="19">
        <v>577</v>
      </c>
      <c r="B581" s="20" t="s">
        <v>411</v>
      </c>
      <c r="C581" s="20" t="s">
        <v>644</v>
      </c>
      <c r="D581" s="20" t="s">
        <v>653</v>
      </c>
      <c r="E581" s="21" t="s">
        <v>17</v>
      </c>
      <c r="F581" s="20" t="s">
        <v>18</v>
      </c>
      <c r="G581" s="20" t="s">
        <v>19</v>
      </c>
      <c r="H581" s="23">
        <v>45292</v>
      </c>
      <c r="I581" s="19">
        <f>IF(F581="是",VLOOKUP(G581,[94]Sheet2!A:C,3,FALSE),VLOOKUP(G581,[94]Sheet2!A:B,2,FALSE))</f>
        <v>600</v>
      </c>
      <c r="J581" s="24" t="s">
        <v>20</v>
      </c>
      <c r="K581" s="25"/>
    </row>
    <row r="582" s="6" customFormat="1" ht="31" customHeight="1" spans="1:11">
      <c r="A582" s="19">
        <v>578</v>
      </c>
      <c r="B582" s="20" t="s">
        <v>411</v>
      </c>
      <c r="C582" s="20" t="s">
        <v>644</v>
      </c>
      <c r="D582" s="20" t="s">
        <v>654</v>
      </c>
      <c r="E582" s="21" t="s">
        <v>17</v>
      </c>
      <c r="F582" s="20" t="s">
        <v>18</v>
      </c>
      <c r="G582" s="20" t="s">
        <v>19</v>
      </c>
      <c r="H582" s="23">
        <v>45292</v>
      </c>
      <c r="I582" s="19">
        <v>600</v>
      </c>
      <c r="J582" s="24" t="s">
        <v>20</v>
      </c>
      <c r="K582" s="25"/>
    </row>
    <row r="583" s="6" customFormat="1" ht="31" customHeight="1" spans="1:11">
      <c r="A583" s="19">
        <v>579</v>
      </c>
      <c r="B583" s="20" t="s">
        <v>411</v>
      </c>
      <c r="C583" s="20" t="s">
        <v>644</v>
      </c>
      <c r="D583" s="20" t="s">
        <v>655</v>
      </c>
      <c r="E583" s="21" t="s">
        <v>17</v>
      </c>
      <c r="F583" s="20" t="s">
        <v>18</v>
      </c>
      <c r="G583" s="20" t="s">
        <v>19</v>
      </c>
      <c r="H583" s="23" t="s">
        <v>491</v>
      </c>
      <c r="I583" s="19">
        <f>IF(F583="是",VLOOKUP(G583,[95]Sheet2!A:C,3,FALSE),VLOOKUP(G583,[95]Sheet2!A:B,2,FALSE))</f>
        <v>600</v>
      </c>
      <c r="J583" s="24" t="s">
        <v>20</v>
      </c>
      <c r="K583" s="25"/>
    </row>
    <row r="584" s="6" customFormat="1" ht="31" customHeight="1" spans="1:11">
      <c r="A584" s="19">
        <v>580</v>
      </c>
      <c r="B584" s="20" t="s">
        <v>411</v>
      </c>
      <c r="C584" s="20" t="s">
        <v>644</v>
      </c>
      <c r="D584" s="20" t="s">
        <v>656</v>
      </c>
      <c r="E584" s="21" t="s">
        <v>17</v>
      </c>
      <c r="F584" s="20" t="s">
        <v>18</v>
      </c>
      <c r="G584" s="20" t="s">
        <v>19</v>
      </c>
      <c r="H584" s="23">
        <v>45352</v>
      </c>
      <c r="I584" s="19">
        <f>IF(F584="是",VLOOKUP(G584,[96]Sheet2!A:C,3,FALSE),VLOOKUP(G584,[96]Sheet2!A:B,2,FALSE))</f>
        <v>600</v>
      </c>
      <c r="J584" s="24" t="s">
        <v>20</v>
      </c>
      <c r="K584" s="25"/>
    </row>
    <row r="585" s="6" customFormat="1" ht="31" customHeight="1" spans="1:11">
      <c r="A585" s="19">
        <v>581</v>
      </c>
      <c r="B585" s="20" t="s">
        <v>411</v>
      </c>
      <c r="C585" s="20" t="s">
        <v>644</v>
      </c>
      <c r="D585" s="20" t="s">
        <v>657</v>
      </c>
      <c r="E585" s="21" t="s">
        <v>17</v>
      </c>
      <c r="F585" s="20" t="s">
        <v>18</v>
      </c>
      <c r="G585" s="20" t="s">
        <v>19</v>
      </c>
      <c r="H585" s="23">
        <v>45323</v>
      </c>
      <c r="I585" s="19">
        <f>IF(F585="是",VLOOKUP(G585,[97]Sheet2!A:C,3,FALSE),VLOOKUP(G585,[97]Sheet2!A:B,2,FALSE))</f>
        <v>600</v>
      </c>
      <c r="J585" s="24" t="s">
        <v>20</v>
      </c>
      <c r="K585" s="25"/>
    </row>
    <row r="586" s="6" customFormat="1" ht="31" customHeight="1" spans="1:11">
      <c r="A586" s="19">
        <v>582</v>
      </c>
      <c r="B586" s="20" t="s">
        <v>411</v>
      </c>
      <c r="C586" s="20" t="s">
        <v>644</v>
      </c>
      <c r="D586" s="20" t="s">
        <v>658</v>
      </c>
      <c r="E586" s="21" t="s">
        <v>17</v>
      </c>
      <c r="F586" s="20" t="s">
        <v>18</v>
      </c>
      <c r="G586" s="20" t="s">
        <v>19</v>
      </c>
      <c r="H586" s="23">
        <v>45292</v>
      </c>
      <c r="I586" s="19">
        <f>IF(F586="是",VLOOKUP(G586,[98]Sheet2!A:C,3,FALSE),VLOOKUP(G586,[98]Sheet2!A:B,2,FALSE))</f>
        <v>600</v>
      </c>
      <c r="J586" s="24" t="s">
        <v>20</v>
      </c>
      <c r="K586" s="25"/>
    </row>
    <row r="587" s="6" customFormat="1" ht="31" customHeight="1" spans="1:11">
      <c r="A587" s="19">
        <v>583</v>
      </c>
      <c r="B587" s="20" t="s">
        <v>411</v>
      </c>
      <c r="C587" s="20" t="s">
        <v>644</v>
      </c>
      <c r="D587" s="20" t="s">
        <v>659</v>
      </c>
      <c r="E587" s="21" t="s">
        <v>17</v>
      </c>
      <c r="F587" s="20" t="s">
        <v>18</v>
      </c>
      <c r="G587" s="20" t="s">
        <v>32</v>
      </c>
      <c r="H587" s="23">
        <v>45352</v>
      </c>
      <c r="I587" s="19">
        <v>800</v>
      </c>
      <c r="J587" s="24" t="s">
        <v>20</v>
      </c>
      <c r="K587" s="25"/>
    </row>
    <row r="588" s="6" customFormat="1" ht="31" customHeight="1" spans="1:11">
      <c r="A588" s="19">
        <v>584</v>
      </c>
      <c r="B588" s="20" t="s">
        <v>411</v>
      </c>
      <c r="C588" s="20" t="s">
        <v>644</v>
      </c>
      <c r="D588" s="20" t="s">
        <v>660</v>
      </c>
      <c r="E588" s="21" t="s">
        <v>17</v>
      </c>
      <c r="F588" s="20" t="s">
        <v>18</v>
      </c>
      <c r="G588" s="20" t="s">
        <v>32</v>
      </c>
      <c r="H588" s="23">
        <v>45352</v>
      </c>
      <c r="I588" s="19">
        <v>800</v>
      </c>
      <c r="J588" s="24" t="s">
        <v>20</v>
      </c>
      <c r="K588" s="25"/>
    </row>
    <row r="589" s="6" customFormat="1" ht="31" customHeight="1" spans="1:11">
      <c r="A589" s="19">
        <v>585</v>
      </c>
      <c r="B589" s="20" t="s">
        <v>411</v>
      </c>
      <c r="C589" s="20" t="s">
        <v>644</v>
      </c>
      <c r="D589" s="20" t="s">
        <v>661</v>
      </c>
      <c r="E589" s="21" t="s">
        <v>17</v>
      </c>
      <c r="F589" s="20" t="s">
        <v>18</v>
      </c>
      <c r="G589" s="20" t="s">
        <v>48</v>
      </c>
      <c r="H589" s="23">
        <v>45323</v>
      </c>
      <c r="I589" s="19">
        <f>IF(F589="是",VLOOKUP(G589,[99]Sheet2!A:C,3,FALSE),VLOOKUP(G589,[99]Sheet2!A:B,2,FALSE))</f>
        <v>800</v>
      </c>
      <c r="J589" s="24" t="s">
        <v>20</v>
      </c>
      <c r="K589" s="25"/>
    </row>
    <row r="590" s="6" customFormat="1" ht="31" customHeight="1" spans="1:11">
      <c r="A590" s="19">
        <v>586</v>
      </c>
      <c r="B590" s="20" t="s">
        <v>411</v>
      </c>
      <c r="C590" s="20" t="s">
        <v>644</v>
      </c>
      <c r="D590" s="20" t="s">
        <v>662</v>
      </c>
      <c r="E590" s="21" t="s">
        <v>17</v>
      </c>
      <c r="F590" s="20" t="s">
        <v>18</v>
      </c>
      <c r="G590" s="20" t="s">
        <v>38</v>
      </c>
      <c r="H590" s="23">
        <v>45323</v>
      </c>
      <c r="I590" s="19">
        <f>IF(F590="是",VLOOKUP(G590,[100]Sheet2!A:C,3,FALSE),VLOOKUP(G590,[100]Sheet2!A:B,2,FALSE))</f>
        <v>600</v>
      </c>
      <c r="J590" s="24" t="s">
        <v>20</v>
      </c>
      <c r="K590" s="25"/>
    </row>
    <row r="591" s="6" customFormat="1" ht="31" customHeight="1" spans="1:11">
      <c r="A591" s="19">
        <v>587</v>
      </c>
      <c r="B591" s="20" t="s">
        <v>411</v>
      </c>
      <c r="C591" s="20" t="s">
        <v>644</v>
      </c>
      <c r="D591" s="20" t="s">
        <v>663</v>
      </c>
      <c r="E591" s="21" t="s">
        <v>17</v>
      </c>
      <c r="F591" s="20" t="s">
        <v>18</v>
      </c>
      <c r="G591" s="20" t="s">
        <v>19</v>
      </c>
      <c r="H591" s="23">
        <v>45292</v>
      </c>
      <c r="I591" s="19">
        <v>600</v>
      </c>
      <c r="J591" s="24" t="s">
        <v>20</v>
      </c>
      <c r="K591" s="25"/>
    </row>
    <row r="592" s="6" customFormat="1" ht="31" customHeight="1" spans="1:11">
      <c r="A592" s="19">
        <v>588</v>
      </c>
      <c r="B592" s="20" t="s">
        <v>411</v>
      </c>
      <c r="C592" s="20" t="s">
        <v>644</v>
      </c>
      <c r="D592" s="20" t="s">
        <v>664</v>
      </c>
      <c r="E592" s="21" t="s">
        <v>17</v>
      </c>
      <c r="F592" s="20" t="s">
        <v>18</v>
      </c>
      <c r="G592" s="20" t="s">
        <v>19</v>
      </c>
      <c r="H592" s="23">
        <v>45444</v>
      </c>
      <c r="I592" s="19">
        <f>IF(F592="是",VLOOKUP(G592,[101]Sheet2!A:C,3,FALSE),VLOOKUP(G592,[101]Sheet2!A:B,2,FALSE))</f>
        <v>600</v>
      </c>
      <c r="J592" s="24" t="s">
        <v>20</v>
      </c>
      <c r="K592" s="25"/>
    </row>
    <row r="593" s="6" customFormat="1" ht="31" customHeight="1" spans="1:11">
      <c r="A593" s="19">
        <v>589</v>
      </c>
      <c r="B593" s="20" t="s">
        <v>411</v>
      </c>
      <c r="C593" s="20" t="s">
        <v>644</v>
      </c>
      <c r="D593" s="20" t="s">
        <v>665</v>
      </c>
      <c r="E593" s="21" t="s">
        <v>666</v>
      </c>
      <c r="F593" s="20" t="s">
        <v>18</v>
      </c>
      <c r="G593" s="20" t="s">
        <v>19</v>
      </c>
      <c r="H593" s="23">
        <v>45352</v>
      </c>
      <c r="I593" s="19">
        <v>600</v>
      </c>
      <c r="J593" s="24" t="s">
        <v>20</v>
      </c>
      <c r="K593" s="25"/>
    </row>
    <row r="594" s="6" customFormat="1" ht="31" customHeight="1" spans="1:11">
      <c r="A594" s="19">
        <v>590</v>
      </c>
      <c r="B594" s="20" t="s">
        <v>411</v>
      </c>
      <c r="C594" s="20" t="s">
        <v>644</v>
      </c>
      <c r="D594" s="20" t="s">
        <v>667</v>
      </c>
      <c r="E594" s="21" t="s">
        <v>17</v>
      </c>
      <c r="F594" s="20" t="s">
        <v>18</v>
      </c>
      <c r="G594" s="20" t="s">
        <v>19</v>
      </c>
      <c r="H594" s="23">
        <v>45383</v>
      </c>
      <c r="I594" s="19">
        <v>600</v>
      </c>
      <c r="J594" s="24" t="s">
        <v>20</v>
      </c>
      <c r="K594" s="25"/>
    </row>
    <row r="595" s="6" customFormat="1" ht="31" customHeight="1" spans="1:11">
      <c r="A595" s="19">
        <v>591</v>
      </c>
      <c r="B595" s="20" t="s">
        <v>411</v>
      </c>
      <c r="C595" s="20" t="s">
        <v>644</v>
      </c>
      <c r="D595" s="20" t="s">
        <v>668</v>
      </c>
      <c r="E595" s="21" t="s">
        <v>17</v>
      </c>
      <c r="F595" s="20" t="s">
        <v>18</v>
      </c>
      <c r="G595" s="20" t="s">
        <v>19</v>
      </c>
      <c r="H595" s="23">
        <v>45383</v>
      </c>
      <c r="I595" s="19">
        <v>600</v>
      </c>
      <c r="J595" s="24" t="s">
        <v>20</v>
      </c>
      <c r="K595" s="25"/>
    </row>
    <row r="596" s="6" customFormat="1" ht="31" customHeight="1" spans="1:11">
      <c r="A596" s="19">
        <v>592</v>
      </c>
      <c r="B596" s="20" t="s">
        <v>411</v>
      </c>
      <c r="C596" s="20" t="s">
        <v>644</v>
      </c>
      <c r="D596" s="20" t="s">
        <v>669</v>
      </c>
      <c r="E596" s="21" t="s">
        <v>17</v>
      </c>
      <c r="F596" s="20" t="s">
        <v>18</v>
      </c>
      <c r="G596" s="20" t="s">
        <v>19</v>
      </c>
      <c r="H596" s="23">
        <v>45292</v>
      </c>
      <c r="I596" s="19">
        <v>600</v>
      </c>
      <c r="J596" s="24" t="s">
        <v>20</v>
      </c>
      <c r="K596" s="25"/>
    </row>
    <row r="597" s="6" customFormat="1" ht="31" customHeight="1" spans="1:11">
      <c r="A597" s="19">
        <v>593</v>
      </c>
      <c r="B597" s="20" t="s">
        <v>411</v>
      </c>
      <c r="C597" s="20" t="s">
        <v>644</v>
      </c>
      <c r="D597" s="20" t="s">
        <v>670</v>
      </c>
      <c r="E597" s="21" t="s">
        <v>17</v>
      </c>
      <c r="F597" s="20" t="s">
        <v>18</v>
      </c>
      <c r="G597" s="20" t="s">
        <v>19</v>
      </c>
      <c r="H597" s="23">
        <v>45292</v>
      </c>
      <c r="I597" s="19">
        <v>600</v>
      </c>
      <c r="J597" s="24" t="s">
        <v>20</v>
      </c>
      <c r="K597" s="25"/>
    </row>
    <row r="598" s="6" customFormat="1" ht="31" customHeight="1" spans="1:11">
      <c r="A598" s="19">
        <v>594</v>
      </c>
      <c r="B598" s="20" t="s">
        <v>411</v>
      </c>
      <c r="C598" s="20" t="s">
        <v>644</v>
      </c>
      <c r="D598" s="20" t="s">
        <v>671</v>
      </c>
      <c r="E598" s="21" t="s">
        <v>17</v>
      </c>
      <c r="F598" s="20" t="s">
        <v>18</v>
      </c>
      <c r="G598" s="20" t="s">
        <v>19</v>
      </c>
      <c r="H598" s="23">
        <v>45323</v>
      </c>
      <c r="I598" s="19">
        <f>IF(F598="是",VLOOKUP(G598,[102]Sheet2!A:C,3,FALSE),VLOOKUP(G598,[102]Sheet2!A:B,2,FALSE))</f>
        <v>600</v>
      </c>
      <c r="J598" s="24" t="s">
        <v>20</v>
      </c>
      <c r="K598" s="25"/>
    </row>
    <row r="599" s="6" customFormat="1" ht="31" customHeight="1" spans="1:11">
      <c r="A599" s="19">
        <v>595</v>
      </c>
      <c r="B599" s="20" t="s">
        <v>411</v>
      </c>
      <c r="C599" s="20" t="s">
        <v>644</v>
      </c>
      <c r="D599" s="20" t="s">
        <v>672</v>
      </c>
      <c r="E599" s="21" t="s">
        <v>17</v>
      </c>
      <c r="F599" s="20" t="s">
        <v>18</v>
      </c>
      <c r="G599" s="20" t="s">
        <v>78</v>
      </c>
      <c r="H599" s="23">
        <v>45323</v>
      </c>
      <c r="I599" s="19">
        <f>IF(F599="是",VLOOKUP(G599,[102]Sheet2!A:C,3,FALSE),VLOOKUP(G599,[102]Sheet2!A:B,2,FALSE))</f>
        <v>800</v>
      </c>
      <c r="J599" s="24" t="s">
        <v>20</v>
      </c>
      <c r="K599" s="25"/>
    </row>
    <row r="600" s="6" customFormat="1" ht="31" customHeight="1" spans="1:11">
      <c r="A600" s="19">
        <v>596</v>
      </c>
      <c r="B600" s="20" t="s">
        <v>411</v>
      </c>
      <c r="C600" s="20" t="s">
        <v>644</v>
      </c>
      <c r="D600" s="20" t="s">
        <v>673</v>
      </c>
      <c r="E600" s="21" t="s">
        <v>17</v>
      </c>
      <c r="F600" s="20" t="s">
        <v>18</v>
      </c>
      <c r="G600" s="20" t="s">
        <v>19</v>
      </c>
      <c r="H600" s="23">
        <v>45323</v>
      </c>
      <c r="I600" s="19">
        <f>IF(F600="是",VLOOKUP(G600,[103]Sheet2!A:C,3,FALSE),VLOOKUP(G600,[103]Sheet2!A:B,2,FALSE))</f>
        <v>600</v>
      </c>
      <c r="J600" s="24" t="s">
        <v>20</v>
      </c>
      <c r="K600" s="25"/>
    </row>
    <row r="601" s="6" customFormat="1" ht="31" customHeight="1" spans="1:11">
      <c r="A601" s="19">
        <v>597</v>
      </c>
      <c r="B601" s="20" t="s">
        <v>411</v>
      </c>
      <c r="C601" s="20" t="s">
        <v>644</v>
      </c>
      <c r="D601" s="20" t="s">
        <v>674</v>
      </c>
      <c r="E601" s="21" t="s">
        <v>17</v>
      </c>
      <c r="F601" s="20" t="s">
        <v>18</v>
      </c>
      <c r="G601" s="20" t="s">
        <v>19</v>
      </c>
      <c r="H601" s="23">
        <v>45352</v>
      </c>
      <c r="I601" s="19">
        <v>600</v>
      </c>
      <c r="J601" s="24" t="s">
        <v>20</v>
      </c>
      <c r="K601" s="25"/>
    </row>
    <row r="602" s="6" customFormat="1" ht="31" customHeight="1" spans="1:11">
      <c r="A602" s="19">
        <v>598</v>
      </c>
      <c r="B602" s="20" t="s">
        <v>411</v>
      </c>
      <c r="C602" s="20" t="s">
        <v>644</v>
      </c>
      <c r="D602" s="20" t="s">
        <v>675</v>
      </c>
      <c r="E602" s="21" t="s">
        <v>17</v>
      </c>
      <c r="F602" s="20" t="s">
        <v>18</v>
      </c>
      <c r="G602" s="20" t="s">
        <v>19</v>
      </c>
      <c r="H602" s="23">
        <v>45292</v>
      </c>
      <c r="I602" s="19">
        <f>IF(F602="是",VLOOKUP(G602,[104]Sheet2!A:C,3,FALSE),VLOOKUP(G602,[104]Sheet2!A:B,2,FALSE))</f>
        <v>600</v>
      </c>
      <c r="J602" s="24" t="s">
        <v>20</v>
      </c>
      <c r="K602" s="25"/>
    </row>
    <row r="603" s="6" customFormat="1" ht="31" customHeight="1" spans="1:11">
      <c r="A603" s="19">
        <v>599</v>
      </c>
      <c r="B603" s="20" t="s">
        <v>411</v>
      </c>
      <c r="C603" s="20" t="s">
        <v>644</v>
      </c>
      <c r="D603" s="20" t="s">
        <v>676</v>
      </c>
      <c r="E603" s="21" t="s">
        <v>17</v>
      </c>
      <c r="F603" s="20" t="s">
        <v>18</v>
      </c>
      <c r="G603" s="20" t="s">
        <v>19</v>
      </c>
      <c r="H603" s="23">
        <v>45292</v>
      </c>
      <c r="I603" s="19">
        <f>IF(F603="是",VLOOKUP(G603,[104]Sheet2!A:C,3,FALSE),VLOOKUP(G603,[104]Sheet2!A:B,2,FALSE))</f>
        <v>600</v>
      </c>
      <c r="J603" s="24" t="s">
        <v>20</v>
      </c>
      <c r="K603" s="25"/>
    </row>
    <row r="604" s="6" customFormat="1" ht="31" customHeight="1" spans="1:11">
      <c r="A604" s="19">
        <v>600</v>
      </c>
      <c r="B604" s="20" t="s">
        <v>411</v>
      </c>
      <c r="C604" s="20" t="s">
        <v>644</v>
      </c>
      <c r="D604" s="20" t="s">
        <v>677</v>
      </c>
      <c r="E604" s="21" t="s">
        <v>17</v>
      </c>
      <c r="F604" s="20" t="s">
        <v>18</v>
      </c>
      <c r="G604" s="20" t="s">
        <v>678</v>
      </c>
      <c r="H604" s="23">
        <v>45292</v>
      </c>
      <c r="I604" s="19">
        <f>IF(F604="是",VLOOKUP(G604,[105]Sheet2!A:C,3,FALSE),VLOOKUP(G604,[105]Sheet2!A:B,2,FALSE))</f>
        <v>800</v>
      </c>
      <c r="J604" s="24" t="s">
        <v>20</v>
      </c>
      <c r="K604" s="25"/>
    </row>
    <row r="605" s="6" customFormat="1" ht="31" customHeight="1" spans="1:11">
      <c r="A605" s="19">
        <v>601</v>
      </c>
      <c r="B605" s="20" t="s">
        <v>411</v>
      </c>
      <c r="C605" s="20" t="s">
        <v>644</v>
      </c>
      <c r="D605" s="20" t="s">
        <v>679</v>
      </c>
      <c r="E605" s="21" t="s">
        <v>17</v>
      </c>
      <c r="F605" s="20" t="s">
        <v>18</v>
      </c>
      <c r="G605" s="20" t="s">
        <v>32</v>
      </c>
      <c r="H605" s="23">
        <v>45352</v>
      </c>
      <c r="I605" s="19">
        <f>IF(F605="是",VLOOKUP(G605,[106]Sheet2!A:C,3,FALSE),VLOOKUP(G605,[106]Sheet2!A:B,2,FALSE))</f>
        <v>800</v>
      </c>
      <c r="J605" s="24" t="s">
        <v>20</v>
      </c>
      <c r="K605" s="25"/>
    </row>
    <row r="606" s="6" customFormat="1" ht="31" customHeight="1" spans="1:11">
      <c r="A606" s="19">
        <v>602</v>
      </c>
      <c r="B606" s="20" t="s">
        <v>411</v>
      </c>
      <c r="C606" s="20" t="s">
        <v>644</v>
      </c>
      <c r="D606" s="20" t="s">
        <v>680</v>
      </c>
      <c r="E606" s="21" t="s">
        <v>17</v>
      </c>
      <c r="F606" s="20" t="s">
        <v>18</v>
      </c>
      <c r="G606" s="20" t="s">
        <v>32</v>
      </c>
      <c r="H606" s="23">
        <v>45352</v>
      </c>
      <c r="I606" s="19">
        <f>IF(F606="是",VLOOKUP(G606,[106]Sheet2!A:C,3,FALSE),VLOOKUP(G606,[106]Sheet2!A:B,2,FALSE))</f>
        <v>800</v>
      </c>
      <c r="J606" s="24" t="s">
        <v>20</v>
      </c>
      <c r="K606" s="25"/>
    </row>
    <row r="607" s="6" customFormat="1" ht="31" customHeight="1" spans="1:11">
      <c r="A607" s="19">
        <v>603</v>
      </c>
      <c r="B607" s="20" t="s">
        <v>411</v>
      </c>
      <c r="C607" s="20" t="s">
        <v>644</v>
      </c>
      <c r="D607" s="20" t="s">
        <v>681</v>
      </c>
      <c r="E607" s="21" t="s">
        <v>17</v>
      </c>
      <c r="F607" s="20" t="s">
        <v>18</v>
      </c>
      <c r="G607" s="20" t="s">
        <v>19</v>
      </c>
      <c r="H607" s="23">
        <v>45323</v>
      </c>
      <c r="I607" s="19">
        <f>IF(F607="是",VLOOKUP(G607,[107]Sheet2!A:C,3,FALSE),VLOOKUP(G607,[107]Sheet2!A:B,2,FALSE))</f>
        <v>600</v>
      </c>
      <c r="J607" s="24" t="s">
        <v>20</v>
      </c>
      <c r="K607" s="25"/>
    </row>
    <row r="608" s="6" customFormat="1" ht="31" customHeight="1" spans="1:11">
      <c r="A608" s="19">
        <v>604</v>
      </c>
      <c r="B608" s="20" t="s">
        <v>411</v>
      </c>
      <c r="C608" s="20" t="s">
        <v>644</v>
      </c>
      <c r="D608" s="20" t="s">
        <v>682</v>
      </c>
      <c r="E608" s="21" t="s">
        <v>17</v>
      </c>
      <c r="F608" s="20" t="s">
        <v>18</v>
      </c>
      <c r="G608" s="20" t="s">
        <v>19</v>
      </c>
      <c r="H608" s="23">
        <v>45323</v>
      </c>
      <c r="I608" s="19">
        <f>IF(F608="是",VLOOKUP(G608,[107]Sheet2!A:C,3,FALSE),VLOOKUP(G608,[107]Sheet2!A:B,2,FALSE))</f>
        <v>600</v>
      </c>
      <c r="J608" s="24" t="s">
        <v>20</v>
      </c>
      <c r="K608" s="25"/>
    </row>
    <row r="609" s="6" customFormat="1" ht="31" customHeight="1" spans="1:11">
      <c r="A609" s="19">
        <v>605</v>
      </c>
      <c r="B609" s="20" t="s">
        <v>411</v>
      </c>
      <c r="C609" s="20" t="s">
        <v>644</v>
      </c>
      <c r="D609" s="20" t="s">
        <v>683</v>
      </c>
      <c r="E609" s="21" t="s">
        <v>17</v>
      </c>
      <c r="F609" s="20" t="s">
        <v>18</v>
      </c>
      <c r="G609" s="20" t="s">
        <v>19</v>
      </c>
      <c r="H609" s="23">
        <v>45323</v>
      </c>
      <c r="I609" s="19">
        <f>IF(F609="是",VLOOKUP(G609,[108]Sheet2!A:C,3,FALSE),VLOOKUP(G609,[108]Sheet2!A:B,2,FALSE))</f>
        <v>600</v>
      </c>
      <c r="J609" s="24" t="s">
        <v>20</v>
      </c>
      <c r="K609" s="25"/>
    </row>
    <row r="610" s="6" customFormat="1" ht="31" customHeight="1" spans="1:11">
      <c r="A610" s="19">
        <v>606</v>
      </c>
      <c r="B610" s="20" t="s">
        <v>411</v>
      </c>
      <c r="C610" s="20" t="s">
        <v>644</v>
      </c>
      <c r="D610" s="20" t="s">
        <v>684</v>
      </c>
      <c r="E610" s="21" t="s">
        <v>17</v>
      </c>
      <c r="F610" s="20" t="s">
        <v>18</v>
      </c>
      <c r="G610" s="20" t="s">
        <v>19</v>
      </c>
      <c r="H610" s="23">
        <v>45323</v>
      </c>
      <c r="I610" s="19">
        <f>IF(F610="是",VLOOKUP(G610,[108]Sheet2!A:C,3,FALSE),VLOOKUP(G610,[108]Sheet2!A:B,2,FALSE))</f>
        <v>600</v>
      </c>
      <c r="J610" s="24" t="s">
        <v>20</v>
      </c>
      <c r="K610" s="25"/>
    </row>
    <row r="611" s="6" customFormat="1" ht="31" customHeight="1" spans="1:11">
      <c r="A611" s="19">
        <v>607</v>
      </c>
      <c r="B611" s="20" t="s">
        <v>411</v>
      </c>
      <c r="C611" s="20" t="s">
        <v>644</v>
      </c>
      <c r="D611" s="20" t="s">
        <v>685</v>
      </c>
      <c r="E611" s="21" t="s">
        <v>17</v>
      </c>
      <c r="F611" s="20" t="s">
        <v>18</v>
      </c>
      <c r="G611" s="20" t="s">
        <v>29</v>
      </c>
      <c r="H611" s="23">
        <v>45352</v>
      </c>
      <c r="I611" s="19">
        <v>800</v>
      </c>
      <c r="J611" s="24" t="s">
        <v>20</v>
      </c>
      <c r="K611" s="25"/>
    </row>
    <row r="612" s="6" customFormat="1" ht="31" customHeight="1" spans="1:11">
      <c r="A612" s="19">
        <v>608</v>
      </c>
      <c r="B612" s="20" t="s">
        <v>411</v>
      </c>
      <c r="C612" s="20" t="s">
        <v>644</v>
      </c>
      <c r="D612" s="20" t="s">
        <v>686</v>
      </c>
      <c r="E612" s="21" t="s">
        <v>17</v>
      </c>
      <c r="F612" s="20" t="s">
        <v>18</v>
      </c>
      <c r="G612" s="20" t="s">
        <v>32</v>
      </c>
      <c r="H612" s="23">
        <v>45323</v>
      </c>
      <c r="I612" s="19">
        <f>IF(F612="是",VLOOKUP(G612,[109]Sheet2!A:C,3,FALSE),VLOOKUP(G612,[109]Sheet2!A:B,2,FALSE))</f>
        <v>800</v>
      </c>
      <c r="J612" s="24" t="s">
        <v>20</v>
      </c>
      <c r="K612" s="25"/>
    </row>
    <row r="613" s="6" customFormat="1" ht="31" customHeight="1" spans="1:11">
      <c r="A613" s="19">
        <v>609</v>
      </c>
      <c r="B613" s="20" t="s">
        <v>411</v>
      </c>
      <c r="C613" s="20" t="s">
        <v>644</v>
      </c>
      <c r="D613" s="20" t="s">
        <v>687</v>
      </c>
      <c r="E613" s="21" t="s">
        <v>17</v>
      </c>
      <c r="F613" s="20" t="s">
        <v>18</v>
      </c>
      <c r="G613" s="20" t="s">
        <v>19</v>
      </c>
      <c r="H613" s="23">
        <v>45323</v>
      </c>
      <c r="I613" s="19">
        <f>IF(F613="是",VLOOKUP(G613,[110]Sheet2!A:C,3,FALSE),VLOOKUP(G613,[110]Sheet2!A:B,2,FALSE))</f>
        <v>600</v>
      </c>
      <c r="J613" s="24" t="s">
        <v>20</v>
      </c>
      <c r="K613" s="25"/>
    </row>
    <row r="614" s="6" customFormat="1" ht="31" customHeight="1" spans="1:11">
      <c r="A614" s="19">
        <v>610</v>
      </c>
      <c r="B614" s="20" t="s">
        <v>411</v>
      </c>
      <c r="C614" s="20" t="s">
        <v>644</v>
      </c>
      <c r="D614" s="20" t="s">
        <v>688</v>
      </c>
      <c r="E614" s="21" t="s">
        <v>17</v>
      </c>
      <c r="F614" s="20" t="s">
        <v>18</v>
      </c>
      <c r="G614" s="20" t="s">
        <v>19</v>
      </c>
      <c r="H614" s="23">
        <v>45323</v>
      </c>
      <c r="I614" s="19">
        <v>600</v>
      </c>
      <c r="J614" s="24" t="s">
        <v>20</v>
      </c>
      <c r="K614" s="25"/>
    </row>
    <row r="615" s="6" customFormat="1" ht="31" customHeight="1" spans="1:11">
      <c r="A615" s="19">
        <v>611</v>
      </c>
      <c r="B615" s="20" t="s">
        <v>411</v>
      </c>
      <c r="C615" s="20" t="s">
        <v>644</v>
      </c>
      <c r="D615" s="20" t="s">
        <v>689</v>
      </c>
      <c r="E615" s="21" t="s">
        <v>17</v>
      </c>
      <c r="F615" s="20" t="s">
        <v>18</v>
      </c>
      <c r="G615" s="20" t="s">
        <v>19</v>
      </c>
      <c r="H615" s="23">
        <v>45323</v>
      </c>
      <c r="I615" s="19">
        <v>600</v>
      </c>
      <c r="J615" s="24" t="s">
        <v>20</v>
      </c>
      <c r="K615" s="25"/>
    </row>
    <row r="616" s="6" customFormat="1" ht="31" customHeight="1" spans="1:11">
      <c r="A616" s="19">
        <v>612</v>
      </c>
      <c r="B616" s="20" t="s">
        <v>411</v>
      </c>
      <c r="C616" s="20" t="s">
        <v>644</v>
      </c>
      <c r="D616" s="20" t="s">
        <v>690</v>
      </c>
      <c r="E616" s="21" t="s">
        <v>17</v>
      </c>
      <c r="F616" s="20" t="s">
        <v>18</v>
      </c>
      <c r="G616" s="20" t="s">
        <v>19</v>
      </c>
      <c r="H616" s="23">
        <v>45352</v>
      </c>
      <c r="I616" s="19">
        <v>600</v>
      </c>
      <c r="J616" s="24" t="s">
        <v>20</v>
      </c>
      <c r="K616" s="25"/>
    </row>
    <row r="617" s="6" customFormat="1" ht="31" customHeight="1" spans="1:11">
      <c r="A617" s="19">
        <v>613</v>
      </c>
      <c r="B617" s="20" t="s">
        <v>411</v>
      </c>
      <c r="C617" s="20" t="s">
        <v>644</v>
      </c>
      <c r="D617" s="20" t="s">
        <v>691</v>
      </c>
      <c r="E617" s="21" t="s">
        <v>17</v>
      </c>
      <c r="F617" s="20" t="s">
        <v>18</v>
      </c>
      <c r="G617" s="20" t="s">
        <v>19</v>
      </c>
      <c r="H617" s="23">
        <v>45352</v>
      </c>
      <c r="I617" s="19">
        <v>600</v>
      </c>
      <c r="J617" s="24" t="s">
        <v>20</v>
      </c>
      <c r="K617" s="25"/>
    </row>
    <row r="618" s="6" customFormat="1" ht="31" customHeight="1" spans="1:11">
      <c r="A618" s="19">
        <v>614</v>
      </c>
      <c r="B618" s="20" t="s">
        <v>411</v>
      </c>
      <c r="C618" s="20" t="s">
        <v>644</v>
      </c>
      <c r="D618" s="20" t="s">
        <v>692</v>
      </c>
      <c r="E618" s="21" t="s">
        <v>17</v>
      </c>
      <c r="F618" s="20" t="s">
        <v>18</v>
      </c>
      <c r="G618" s="20" t="s">
        <v>19</v>
      </c>
      <c r="H618" s="23">
        <v>45383</v>
      </c>
      <c r="I618" s="19">
        <v>600</v>
      </c>
      <c r="J618" s="24" t="s">
        <v>20</v>
      </c>
      <c r="K618" s="25"/>
    </row>
    <row r="619" s="6" customFormat="1" ht="31" customHeight="1" spans="1:11">
      <c r="A619" s="19">
        <v>615</v>
      </c>
      <c r="B619" s="20" t="s">
        <v>411</v>
      </c>
      <c r="C619" s="20" t="s">
        <v>644</v>
      </c>
      <c r="D619" s="20" t="s">
        <v>693</v>
      </c>
      <c r="E619" s="21" t="s">
        <v>17</v>
      </c>
      <c r="F619" s="20" t="s">
        <v>18</v>
      </c>
      <c r="G619" s="20" t="s">
        <v>19</v>
      </c>
      <c r="H619" s="23">
        <v>45352</v>
      </c>
      <c r="I619" s="19">
        <v>600</v>
      </c>
      <c r="J619" s="24" t="s">
        <v>20</v>
      </c>
      <c r="K619" s="25"/>
    </row>
    <row r="620" s="6" customFormat="1" ht="31" customHeight="1" spans="1:11">
      <c r="A620" s="19">
        <v>616</v>
      </c>
      <c r="B620" s="20" t="s">
        <v>411</v>
      </c>
      <c r="C620" s="20" t="s">
        <v>644</v>
      </c>
      <c r="D620" s="20" t="s">
        <v>694</v>
      </c>
      <c r="E620" s="21" t="s">
        <v>17</v>
      </c>
      <c r="F620" s="20" t="s">
        <v>18</v>
      </c>
      <c r="G620" s="20" t="s">
        <v>19</v>
      </c>
      <c r="H620" s="23">
        <v>45352</v>
      </c>
      <c r="I620" s="19">
        <v>600</v>
      </c>
      <c r="J620" s="24" t="s">
        <v>20</v>
      </c>
      <c r="K620" s="25"/>
    </row>
    <row r="621" s="6" customFormat="1" ht="31" customHeight="1" spans="1:11">
      <c r="A621" s="19">
        <v>617</v>
      </c>
      <c r="B621" s="20" t="s">
        <v>411</v>
      </c>
      <c r="C621" s="20" t="s">
        <v>644</v>
      </c>
      <c r="D621" s="20" t="s">
        <v>695</v>
      </c>
      <c r="E621" s="21" t="s">
        <v>17</v>
      </c>
      <c r="F621" s="20" t="s">
        <v>18</v>
      </c>
      <c r="G621" s="20" t="s">
        <v>19</v>
      </c>
      <c r="H621" s="23">
        <v>45292</v>
      </c>
      <c r="I621" s="19">
        <v>600</v>
      </c>
      <c r="J621" s="24" t="s">
        <v>20</v>
      </c>
      <c r="K621" s="25"/>
    </row>
    <row r="622" s="6" customFormat="1" ht="31" customHeight="1" spans="1:11">
      <c r="A622" s="19">
        <v>618</v>
      </c>
      <c r="B622" s="20" t="s">
        <v>411</v>
      </c>
      <c r="C622" s="20" t="s">
        <v>644</v>
      </c>
      <c r="D622" s="20" t="s">
        <v>696</v>
      </c>
      <c r="E622" s="21" t="s">
        <v>17</v>
      </c>
      <c r="F622" s="20" t="s">
        <v>18</v>
      </c>
      <c r="G622" s="20" t="s">
        <v>19</v>
      </c>
      <c r="H622" s="23">
        <v>45323</v>
      </c>
      <c r="I622" s="19">
        <f>IF(F622="是",VLOOKUP(G622,[136]Sheet2!A:C,3,FALSE),VLOOKUP(G622,[136]Sheet2!A:B,2,FALSE))</f>
        <v>600</v>
      </c>
      <c r="J622" s="24" t="s">
        <v>20</v>
      </c>
      <c r="K622" s="25"/>
    </row>
    <row r="623" s="6" customFormat="1" ht="31" customHeight="1" spans="1:11">
      <c r="A623" s="19">
        <v>619</v>
      </c>
      <c r="B623" s="20" t="s">
        <v>411</v>
      </c>
      <c r="C623" s="20" t="s">
        <v>644</v>
      </c>
      <c r="D623" s="20" t="s">
        <v>697</v>
      </c>
      <c r="E623" s="21" t="s">
        <v>17</v>
      </c>
      <c r="F623" s="20" t="s">
        <v>18</v>
      </c>
      <c r="G623" s="20" t="s">
        <v>19</v>
      </c>
      <c r="H623" s="23">
        <v>45323</v>
      </c>
      <c r="I623" s="19">
        <f>IF(F623="是",VLOOKUP(G623,[137]Sheet2!A:C,3,FALSE),VLOOKUP(G623,[137]Sheet2!A:B,2,FALSE))</f>
        <v>600</v>
      </c>
      <c r="J623" s="24" t="s">
        <v>20</v>
      </c>
      <c r="K623" s="25"/>
    </row>
    <row r="624" s="6" customFormat="1" ht="31" customHeight="1" spans="1:11">
      <c r="A624" s="19">
        <v>620</v>
      </c>
      <c r="B624" s="20" t="s">
        <v>411</v>
      </c>
      <c r="C624" s="20" t="s">
        <v>644</v>
      </c>
      <c r="D624" s="20" t="s">
        <v>698</v>
      </c>
      <c r="E624" s="21" t="s">
        <v>17</v>
      </c>
      <c r="F624" s="20" t="s">
        <v>18</v>
      </c>
      <c r="G624" s="20" t="s">
        <v>19</v>
      </c>
      <c r="H624" s="23">
        <v>45323</v>
      </c>
      <c r="I624" s="19">
        <f>IF(F624="是",VLOOKUP(G624,[138]Sheet2!A:C,3,FALSE),VLOOKUP(G624,[138]Sheet2!A:B,2,FALSE))</f>
        <v>600</v>
      </c>
      <c r="J624" s="24" t="s">
        <v>20</v>
      </c>
      <c r="K624" s="25"/>
    </row>
    <row r="625" s="6" customFormat="1" ht="31" customHeight="1" spans="1:11">
      <c r="A625" s="19">
        <v>621</v>
      </c>
      <c r="B625" s="20" t="s">
        <v>411</v>
      </c>
      <c r="C625" s="20" t="s">
        <v>644</v>
      </c>
      <c r="D625" s="20" t="s">
        <v>699</v>
      </c>
      <c r="E625" s="21" t="s">
        <v>17</v>
      </c>
      <c r="F625" s="20" t="s">
        <v>18</v>
      </c>
      <c r="G625" s="20" t="s">
        <v>19</v>
      </c>
      <c r="H625" s="23">
        <v>45292</v>
      </c>
      <c r="I625" s="19">
        <f>IF(F625="是",VLOOKUP(G625,[139]Sheet2!A:C,3,FALSE),VLOOKUP(G625,[139]Sheet2!A:B,2,FALSE))</f>
        <v>600</v>
      </c>
      <c r="J625" s="24" t="s">
        <v>20</v>
      </c>
      <c r="K625" s="25"/>
    </row>
    <row r="626" s="6" customFormat="1" ht="31" customHeight="1" spans="1:11">
      <c r="A626" s="19">
        <v>622</v>
      </c>
      <c r="B626" s="20" t="s">
        <v>411</v>
      </c>
      <c r="C626" s="20" t="s">
        <v>644</v>
      </c>
      <c r="D626" s="20" t="s">
        <v>700</v>
      </c>
      <c r="E626" s="21" t="s">
        <v>17</v>
      </c>
      <c r="F626" s="20" t="s">
        <v>18</v>
      </c>
      <c r="G626" s="20" t="s">
        <v>19</v>
      </c>
      <c r="H626" s="23">
        <v>45292</v>
      </c>
      <c r="I626" s="19">
        <v>600</v>
      </c>
      <c r="J626" s="24" t="s">
        <v>20</v>
      </c>
      <c r="K626" s="25"/>
    </row>
    <row r="627" s="6" customFormat="1" ht="31" customHeight="1" spans="1:11">
      <c r="A627" s="19">
        <v>623</v>
      </c>
      <c r="B627" s="20" t="s">
        <v>411</v>
      </c>
      <c r="C627" s="20" t="s">
        <v>644</v>
      </c>
      <c r="D627" s="20" t="s">
        <v>701</v>
      </c>
      <c r="E627" s="21" t="s">
        <v>17</v>
      </c>
      <c r="F627" s="20" t="s">
        <v>18</v>
      </c>
      <c r="G627" s="20" t="s">
        <v>19</v>
      </c>
      <c r="H627" s="23">
        <v>45292</v>
      </c>
      <c r="I627" s="19">
        <v>600</v>
      </c>
      <c r="J627" s="24" t="s">
        <v>20</v>
      </c>
      <c r="K627" s="25"/>
    </row>
    <row r="628" s="6" customFormat="1" ht="31" customHeight="1" spans="1:11">
      <c r="A628" s="19">
        <v>624</v>
      </c>
      <c r="B628" s="20" t="s">
        <v>411</v>
      </c>
      <c r="C628" s="20" t="s">
        <v>644</v>
      </c>
      <c r="D628" s="20" t="s">
        <v>702</v>
      </c>
      <c r="E628" s="21" t="s">
        <v>17</v>
      </c>
      <c r="F628" s="20" t="s">
        <v>18</v>
      </c>
      <c r="G628" s="20" t="s">
        <v>19</v>
      </c>
      <c r="H628" s="23">
        <v>45292</v>
      </c>
      <c r="I628" s="19">
        <f>IF(F628="是",VLOOKUP(G628,[154]Sheet2!A:C,3,FALSE),VLOOKUP(G628,[154]Sheet2!A:B,2,FALSE))</f>
        <v>600</v>
      </c>
      <c r="J628" s="24" t="s">
        <v>20</v>
      </c>
      <c r="K628" s="25"/>
    </row>
    <row r="629" s="6" customFormat="1" ht="31" customHeight="1" spans="1:11">
      <c r="A629" s="19">
        <v>625</v>
      </c>
      <c r="B629" s="20" t="s">
        <v>411</v>
      </c>
      <c r="C629" s="20" t="s">
        <v>644</v>
      </c>
      <c r="D629" s="20" t="s">
        <v>703</v>
      </c>
      <c r="E629" s="21" t="s">
        <v>17</v>
      </c>
      <c r="F629" s="20" t="s">
        <v>18</v>
      </c>
      <c r="G629" s="20" t="s">
        <v>19</v>
      </c>
      <c r="H629" s="23">
        <v>45292</v>
      </c>
      <c r="I629" s="19">
        <f>IF(F629="是",VLOOKUP(G629,[154]Sheet2!A:C,3,FALSE),VLOOKUP(G629,[154]Sheet2!A:B,2,FALSE))</f>
        <v>600</v>
      </c>
      <c r="J629" s="24" t="s">
        <v>20</v>
      </c>
      <c r="K629" s="25"/>
    </row>
    <row r="630" s="6" customFormat="1" ht="31" customHeight="1" spans="1:11">
      <c r="A630" s="19">
        <v>626</v>
      </c>
      <c r="B630" s="20" t="s">
        <v>411</v>
      </c>
      <c r="C630" s="20" t="s">
        <v>644</v>
      </c>
      <c r="D630" s="20" t="s">
        <v>704</v>
      </c>
      <c r="E630" s="21" t="s">
        <v>17</v>
      </c>
      <c r="F630" s="20" t="s">
        <v>18</v>
      </c>
      <c r="G630" s="20" t="s">
        <v>98</v>
      </c>
      <c r="H630" s="23">
        <v>45292</v>
      </c>
      <c r="I630" s="19">
        <f>IF(F630="是",VLOOKUP(G630,[154]Sheet2!A:C,3,FALSE),VLOOKUP(G630,[154]Sheet2!A:B,2,FALSE))</f>
        <v>800</v>
      </c>
      <c r="J630" s="24" t="s">
        <v>20</v>
      </c>
      <c r="K630" s="25"/>
    </row>
    <row r="631" s="6" customFormat="1" ht="31" customHeight="1" spans="1:11">
      <c r="A631" s="19">
        <v>627</v>
      </c>
      <c r="B631" s="20" t="s">
        <v>411</v>
      </c>
      <c r="C631" s="20" t="s">
        <v>644</v>
      </c>
      <c r="D631" s="20" t="s">
        <v>705</v>
      </c>
      <c r="E631" s="21" t="s">
        <v>17</v>
      </c>
      <c r="F631" s="20" t="s">
        <v>18</v>
      </c>
      <c r="G631" s="20" t="s">
        <v>98</v>
      </c>
      <c r="H631" s="23">
        <v>45292</v>
      </c>
      <c r="I631" s="19">
        <f>IF(F631="是",VLOOKUP(G631,[154]Sheet2!A:C,3,FALSE),VLOOKUP(G631,[154]Sheet2!A:B,2,FALSE))</f>
        <v>800</v>
      </c>
      <c r="J631" s="24" t="s">
        <v>20</v>
      </c>
      <c r="K631" s="25"/>
    </row>
    <row r="632" s="6" customFormat="1" ht="31" customHeight="1" spans="1:11">
      <c r="A632" s="19">
        <v>628</v>
      </c>
      <c r="B632" s="20" t="s">
        <v>411</v>
      </c>
      <c r="C632" s="20" t="s">
        <v>706</v>
      </c>
      <c r="D632" s="20" t="s">
        <v>707</v>
      </c>
      <c r="E632" s="21" t="s">
        <v>17</v>
      </c>
      <c r="F632" s="20" t="s">
        <v>18</v>
      </c>
      <c r="G632" s="20" t="s">
        <v>19</v>
      </c>
      <c r="H632" s="23">
        <v>45292</v>
      </c>
      <c r="I632" s="19">
        <v>600</v>
      </c>
      <c r="J632" s="24" t="s">
        <v>20</v>
      </c>
      <c r="K632" s="25"/>
    </row>
    <row r="633" s="6" customFormat="1" ht="31" customHeight="1" spans="1:11">
      <c r="A633" s="19">
        <v>629</v>
      </c>
      <c r="B633" s="20" t="s">
        <v>411</v>
      </c>
      <c r="C633" s="20" t="s">
        <v>708</v>
      </c>
      <c r="D633" s="20" t="s">
        <v>709</v>
      </c>
      <c r="E633" s="21" t="s">
        <v>17</v>
      </c>
      <c r="F633" s="20" t="s">
        <v>18</v>
      </c>
      <c r="G633" s="20" t="s">
        <v>19</v>
      </c>
      <c r="H633" s="23">
        <v>45323</v>
      </c>
      <c r="I633" s="19">
        <v>600</v>
      </c>
      <c r="J633" s="24" t="s">
        <v>20</v>
      </c>
      <c r="K633" s="25"/>
    </row>
    <row r="634" s="6" customFormat="1" ht="31" customHeight="1" spans="1:11">
      <c r="A634" s="19">
        <v>630</v>
      </c>
      <c r="B634" s="20" t="s">
        <v>411</v>
      </c>
      <c r="C634" s="20" t="s">
        <v>706</v>
      </c>
      <c r="D634" s="20" t="s">
        <v>710</v>
      </c>
      <c r="E634" s="21" t="s">
        <v>17</v>
      </c>
      <c r="F634" s="20" t="s">
        <v>18</v>
      </c>
      <c r="G634" s="20" t="s">
        <v>19</v>
      </c>
      <c r="H634" s="23">
        <v>45344</v>
      </c>
      <c r="I634" s="19">
        <v>600</v>
      </c>
      <c r="J634" s="24" t="s">
        <v>20</v>
      </c>
      <c r="K634" s="25"/>
    </row>
    <row r="635" s="6" customFormat="1" ht="31" customHeight="1" spans="1:11">
      <c r="A635" s="19">
        <v>631</v>
      </c>
      <c r="B635" s="20" t="s">
        <v>411</v>
      </c>
      <c r="C635" s="20" t="s">
        <v>706</v>
      </c>
      <c r="D635" s="20" t="s">
        <v>711</v>
      </c>
      <c r="E635" s="21" t="s">
        <v>17</v>
      </c>
      <c r="F635" s="20" t="s">
        <v>18</v>
      </c>
      <c r="G635" s="20" t="s">
        <v>19</v>
      </c>
      <c r="H635" s="23">
        <v>45359</v>
      </c>
      <c r="I635" s="19">
        <v>600</v>
      </c>
      <c r="J635" s="24" t="s">
        <v>20</v>
      </c>
      <c r="K635" s="25"/>
    </row>
    <row r="636" s="6" customFormat="1" ht="31" customHeight="1" spans="1:11">
      <c r="A636" s="19">
        <v>632</v>
      </c>
      <c r="B636" s="20" t="s">
        <v>411</v>
      </c>
      <c r="C636" s="20" t="s">
        <v>706</v>
      </c>
      <c r="D636" s="20" t="s">
        <v>712</v>
      </c>
      <c r="E636" s="21" t="s">
        <v>17</v>
      </c>
      <c r="F636" s="20" t="s">
        <v>18</v>
      </c>
      <c r="G636" s="20" t="s">
        <v>19</v>
      </c>
      <c r="H636" s="23">
        <v>45359</v>
      </c>
      <c r="I636" s="19">
        <v>600</v>
      </c>
      <c r="J636" s="24" t="s">
        <v>20</v>
      </c>
      <c r="K636" s="25"/>
    </row>
    <row r="637" s="6" customFormat="1" ht="31" customHeight="1" spans="1:11">
      <c r="A637" s="19">
        <v>633</v>
      </c>
      <c r="B637" s="20" t="s">
        <v>411</v>
      </c>
      <c r="C637" s="20" t="s">
        <v>708</v>
      </c>
      <c r="D637" s="20" t="s">
        <v>713</v>
      </c>
      <c r="E637" s="21" t="s">
        <v>17</v>
      </c>
      <c r="F637" s="20" t="s">
        <v>18</v>
      </c>
      <c r="G637" s="20" t="s">
        <v>19</v>
      </c>
      <c r="H637" s="23">
        <v>45348</v>
      </c>
      <c r="I637" s="19">
        <f>IF(F637="是",VLOOKUP(G637,[141]Sheet2!A:C,3,FALSE),VLOOKUP(G637,[141]Sheet2!A:B,2,FALSE))</f>
        <v>600</v>
      </c>
      <c r="J637" s="24" t="s">
        <v>20</v>
      </c>
      <c r="K637" s="25"/>
    </row>
    <row r="638" s="6" customFormat="1" ht="31" customHeight="1" spans="1:11">
      <c r="A638" s="19">
        <v>634</v>
      </c>
      <c r="B638" s="20" t="s">
        <v>411</v>
      </c>
      <c r="C638" s="20" t="s">
        <v>708</v>
      </c>
      <c r="D638" s="20" t="s">
        <v>714</v>
      </c>
      <c r="E638" s="21" t="s">
        <v>17</v>
      </c>
      <c r="F638" s="20" t="s">
        <v>18</v>
      </c>
      <c r="G638" s="20" t="s">
        <v>19</v>
      </c>
      <c r="H638" s="23">
        <v>45348</v>
      </c>
      <c r="I638" s="19">
        <f>IF(F638="是",VLOOKUP(G638,[141]Sheet2!A:C,3,FALSE),VLOOKUP(G638,[141]Sheet2!A:B,2,FALSE))</f>
        <v>600</v>
      </c>
      <c r="J638" s="24" t="s">
        <v>20</v>
      </c>
      <c r="K638" s="25"/>
    </row>
    <row r="639" s="6" customFormat="1" ht="31" customHeight="1" spans="1:11">
      <c r="A639" s="19">
        <v>635</v>
      </c>
      <c r="B639" s="20" t="s">
        <v>411</v>
      </c>
      <c r="C639" s="20" t="s">
        <v>708</v>
      </c>
      <c r="D639" s="20" t="s">
        <v>715</v>
      </c>
      <c r="E639" s="21" t="s">
        <v>17</v>
      </c>
      <c r="F639" s="20" t="s">
        <v>18</v>
      </c>
      <c r="G639" s="20" t="s">
        <v>19</v>
      </c>
      <c r="H639" s="23">
        <v>45348</v>
      </c>
      <c r="I639" s="19">
        <f>IF(F639="是",VLOOKUP(G639,[141]Sheet2!A:C,3,FALSE),VLOOKUP(G639,[141]Sheet2!A:B,2,FALSE))</f>
        <v>600</v>
      </c>
      <c r="J639" s="24" t="s">
        <v>20</v>
      </c>
      <c r="K639" s="25"/>
    </row>
    <row r="640" s="6" customFormat="1" ht="31" customHeight="1" spans="1:11">
      <c r="A640" s="19">
        <v>636</v>
      </c>
      <c r="B640" s="20" t="s">
        <v>411</v>
      </c>
      <c r="C640" s="20" t="s">
        <v>708</v>
      </c>
      <c r="D640" s="20" t="s">
        <v>716</v>
      </c>
      <c r="E640" s="21" t="s">
        <v>17</v>
      </c>
      <c r="F640" s="20" t="s">
        <v>18</v>
      </c>
      <c r="G640" s="20" t="s">
        <v>19</v>
      </c>
      <c r="H640" s="23">
        <v>45292</v>
      </c>
      <c r="I640" s="19">
        <v>600</v>
      </c>
      <c r="J640" s="24" t="s">
        <v>20</v>
      </c>
      <c r="K640" s="25"/>
    </row>
    <row r="641" s="6" customFormat="1" ht="31" customHeight="1" spans="1:11">
      <c r="A641" s="19">
        <v>637</v>
      </c>
      <c r="B641" s="20" t="s">
        <v>411</v>
      </c>
      <c r="C641" s="20" t="s">
        <v>708</v>
      </c>
      <c r="D641" s="20" t="s">
        <v>717</v>
      </c>
      <c r="E641" s="21" t="s">
        <v>17</v>
      </c>
      <c r="F641" s="20" t="s">
        <v>18</v>
      </c>
      <c r="G641" s="20" t="s">
        <v>19</v>
      </c>
      <c r="H641" s="23">
        <v>45296</v>
      </c>
      <c r="I641" s="19">
        <f>IF(F641="是",VLOOKUP(G641,[144]Sheet2!A:C,3,FALSE),VLOOKUP(G641,[144]Sheet2!A:B,2,FALSE))</f>
        <v>600</v>
      </c>
      <c r="J641" s="24" t="s">
        <v>20</v>
      </c>
      <c r="K641" s="25"/>
    </row>
    <row r="642" s="6" customFormat="1" ht="31" customHeight="1" spans="1:11">
      <c r="A642" s="19">
        <v>638</v>
      </c>
      <c r="B642" s="20" t="s">
        <v>411</v>
      </c>
      <c r="C642" s="20" t="s">
        <v>708</v>
      </c>
      <c r="D642" s="20" t="s">
        <v>718</v>
      </c>
      <c r="E642" s="21" t="s">
        <v>17</v>
      </c>
      <c r="F642" s="20" t="s">
        <v>18</v>
      </c>
      <c r="G642" s="20" t="s">
        <v>19</v>
      </c>
      <c r="H642" s="23">
        <v>45323</v>
      </c>
      <c r="I642" s="19">
        <f>IF(F642="是",VLOOKUP(G642,[142]Sheet2!A:C,3,FALSE),VLOOKUP(G642,[142]Sheet2!A:B,2,FALSE))</f>
        <v>600</v>
      </c>
      <c r="J642" s="24" t="s">
        <v>20</v>
      </c>
      <c r="K642" s="25"/>
    </row>
    <row r="643" s="6" customFormat="1" ht="31" customHeight="1" spans="1:11">
      <c r="A643" s="19">
        <v>639</v>
      </c>
      <c r="B643" s="20" t="s">
        <v>411</v>
      </c>
      <c r="C643" s="20" t="s">
        <v>708</v>
      </c>
      <c r="D643" s="20" t="s">
        <v>719</v>
      </c>
      <c r="E643" s="21" t="s">
        <v>17</v>
      </c>
      <c r="F643" s="20" t="s">
        <v>18</v>
      </c>
      <c r="G643" s="20" t="s">
        <v>19</v>
      </c>
      <c r="H643" s="23">
        <v>45292</v>
      </c>
      <c r="I643" s="19">
        <f>IF(F643="是",VLOOKUP(G643,[143]Sheet2!A:C,3,FALSE),VLOOKUP(G643,[143]Sheet2!A:B,2,FALSE))</f>
        <v>600</v>
      </c>
      <c r="J643" s="24" t="s">
        <v>20</v>
      </c>
      <c r="K643" s="25"/>
    </row>
    <row r="644" s="6" customFormat="1" ht="31" customHeight="1" spans="1:11">
      <c r="A644" s="19">
        <v>640</v>
      </c>
      <c r="B644" s="20" t="s">
        <v>411</v>
      </c>
      <c r="C644" s="20" t="s">
        <v>708</v>
      </c>
      <c r="D644" s="20" t="s">
        <v>720</v>
      </c>
      <c r="E644" s="21" t="s">
        <v>17</v>
      </c>
      <c r="F644" s="20" t="s">
        <v>18</v>
      </c>
      <c r="G644" s="20" t="s">
        <v>19</v>
      </c>
      <c r="H644" s="23">
        <v>45292</v>
      </c>
      <c r="I644" s="19">
        <f>IF(F644="是",VLOOKUP(G644,[143]Sheet2!A:C,3,FALSE),VLOOKUP(G644,[143]Sheet2!A:B,2,FALSE))</f>
        <v>600</v>
      </c>
      <c r="J644" s="24" t="s">
        <v>20</v>
      </c>
      <c r="K644" s="25"/>
    </row>
    <row r="645" s="6" customFormat="1" ht="31" customHeight="1" spans="1:11">
      <c r="A645" s="19">
        <v>641</v>
      </c>
      <c r="B645" s="20" t="s">
        <v>411</v>
      </c>
      <c r="C645" s="20" t="s">
        <v>708</v>
      </c>
      <c r="D645" s="20" t="s">
        <v>721</v>
      </c>
      <c r="E645" s="21" t="s">
        <v>17</v>
      </c>
      <c r="F645" s="20" t="s">
        <v>18</v>
      </c>
      <c r="G645" s="20" t="s">
        <v>19</v>
      </c>
      <c r="H645" s="23">
        <v>45292</v>
      </c>
      <c r="I645" s="19">
        <f>IF(F645="是",VLOOKUP(G645,[143]Sheet2!A:C,3,FALSE),VLOOKUP(G645,[143]Sheet2!A:B,2,FALSE))</f>
        <v>600</v>
      </c>
      <c r="J645" s="24" t="s">
        <v>20</v>
      </c>
      <c r="K645" s="25"/>
    </row>
    <row r="646" s="6" customFormat="1" ht="31" customHeight="1" spans="1:11">
      <c r="A646" s="19">
        <v>642</v>
      </c>
      <c r="B646" s="20" t="s">
        <v>411</v>
      </c>
      <c r="C646" s="20" t="s">
        <v>722</v>
      </c>
      <c r="D646" s="20" t="s">
        <v>723</v>
      </c>
      <c r="E646" s="21" t="s">
        <v>17</v>
      </c>
      <c r="F646" s="20" t="s">
        <v>18</v>
      </c>
      <c r="G646" s="20" t="s">
        <v>19</v>
      </c>
      <c r="H646" s="23">
        <v>45323</v>
      </c>
      <c r="I646" s="19">
        <f>IF(F646="是",VLOOKUP(G646,[148]Sheet2!A:C,3,FALSE),VLOOKUP(G646,[148]Sheet2!A:B,2,FALSE))</f>
        <v>600</v>
      </c>
      <c r="J646" s="24" t="s">
        <v>20</v>
      </c>
      <c r="K646" s="25"/>
    </row>
    <row r="647" s="6" customFormat="1" ht="31" customHeight="1" spans="1:11">
      <c r="A647" s="19">
        <v>643</v>
      </c>
      <c r="B647" s="20" t="s">
        <v>411</v>
      </c>
      <c r="C647" s="20" t="s">
        <v>722</v>
      </c>
      <c r="D647" s="20" t="s">
        <v>724</v>
      </c>
      <c r="E647" s="21" t="s">
        <v>17</v>
      </c>
      <c r="F647" s="20" t="s">
        <v>18</v>
      </c>
      <c r="G647" s="20" t="s">
        <v>32</v>
      </c>
      <c r="H647" s="23">
        <v>45388</v>
      </c>
      <c r="I647" s="19">
        <f>IF(F647="是",VLOOKUP(G647,[148]Sheet2!A:C,3,FALSE),VLOOKUP(G647,[148]Sheet2!A:B,2,FALSE))</f>
        <v>800</v>
      </c>
      <c r="J647" s="24" t="s">
        <v>20</v>
      </c>
      <c r="K647" s="25"/>
    </row>
    <row r="648" s="6" customFormat="1" ht="31" customHeight="1" spans="1:11">
      <c r="A648" s="19">
        <v>644</v>
      </c>
      <c r="B648" s="20" t="s">
        <v>411</v>
      </c>
      <c r="C648" s="20" t="s">
        <v>722</v>
      </c>
      <c r="D648" s="20" t="s">
        <v>725</v>
      </c>
      <c r="E648" s="21" t="s">
        <v>17</v>
      </c>
      <c r="F648" s="20" t="s">
        <v>18</v>
      </c>
      <c r="G648" s="20" t="s">
        <v>19</v>
      </c>
      <c r="H648" s="23">
        <v>45345</v>
      </c>
      <c r="I648" s="19">
        <f>IF(F648="是",VLOOKUP(G648,[148]Sheet2!A:C,3,FALSE),VLOOKUP(G648,[148]Sheet2!A:B,2,FALSE))</f>
        <v>600</v>
      </c>
      <c r="J648" s="24" t="s">
        <v>20</v>
      </c>
      <c r="K648" s="25"/>
    </row>
    <row r="649" s="6" customFormat="1" ht="31" customHeight="1" spans="1:11">
      <c r="A649" s="19">
        <v>645</v>
      </c>
      <c r="B649" s="20" t="s">
        <v>411</v>
      </c>
      <c r="C649" s="20" t="s">
        <v>722</v>
      </c>
      <c r="D649" s="20" t="s">
        <v>726</v>
      </c>
      <c r="E649" s="21" t="s">
        <v>17</v>
      </c>
      <c r="F649" s="20" t="s">
        <v>18</v>
      </c>
      <c r="G649" s="20" t="s">
        <v>437</v>
      </c>
      <c r="H649" s="23">
        <v>45475</v>
      </c>
      <c r="I649" s="19">
        <f>IF(F649="是",VLOOKUP(G649,[148]Sheet2!A:C,3,FALSE),VLOOKUP(G649,[148]Sheet2!A:B,2,FALSE))</f>
        <v>800</v>
      </c>
      <c r="J649" s="24" t="s">
        <v>20</v>
      </c>
      <c r="K649" s="25"/>
    </row>
    <row r="650" s="6" customFormat="1" ht="31" customHeight="1" spans="1:11">
      <c r="A650" s="19">
        <v>646</v>
      </c>
      <c r="B650" s="20" t="s">
        <v>411</v>
      </c>
      <c r="C650" s="20" t="s">
        <v>722</v>
      </c>
      <c r="D650" s="20" t="s">
        <v>727</v>
      </c>
      <c r="E650" s="21" t="s">
        <v>17</v>
      </c>
      <c r="F650" s="20" t="s">
        <v>18</v>
      </c>
      <c r="G650" s="20" t="s">
        <v>19</v>
      </c>
      <c r="H650" s="23">
        <v>45323</v>
      </c>
      <c r="I650" s="19">
        <f>IF(F650="是",VLOOKUP(G650,[148]Sheet2!A:C,3,FALSE),VLOOKUP(G650,[148]Sheet2!A:B,2,FALSE))</f>
        <v>600</v>
      </c>
      <c r="J650" s="24" t="s">
        <v>20</v>
      </c>
      <c r="K650" s="25"/>
    </row>
    <row r="651" s="6" customFormat="1" ht="31" customHeight="1" spans="1:11">
      <c r="A651" s="19">
        <v>647</v>
      </c>
      <c r="B651" s="20" t="s">
        <v>411</v>
      </c>
      <c r="C651" s="20" t="s">
        <v>722</v>
      </c>
      <c r="D651" s="20" t="s">
        <v>728</v>
      </c>
      <c r="E651" s="21" t="s">
        <v>17</v>
      </c>
      <c r="F651" s="20" t="s">
        <v>18</v>
      </c>
      <c r="G651" s="20" t="s">
        <v>19</v>
      </c>
      <c r="H651" s="23">
        <v>45505</v>
      </c>
      <c r="I651" s="19">
        <f>IF(F651="是",VLOOKUP(G651,[148]Sheet2!A:C,3,FALSE),VLOOKUP(G651,[148]Sheet2!A:B,2,FALSE))</f>
        <v>600</v>
      </c>
      <c r="J651" s="24" t="s">
        <v>20</v>
      </c>
      <c r="K651" s="25"/>
    </row>
    <row r="652" s="6" customFormat="1" ht="31" customHeight="1" spans="1:11">
      <c r="A652" s="19">
        <v>648</v>
      </c>
      <c r="B652" s="20" t="s">
        <v>411</v>
      </c>
      <c r="C652" s="20" t="s">
        <v>722</v>
      </c>
      <c r="D652" s="20" t="s">
        <v>729</v>
      </c>
      <c r="E652" s="21" t="s">
        <v>17</v>
      </c>
      <c r="F652" s="20" t="s">
        <v>18</v>
      </c>
      <c r="G652" s="20" t="s">
        <v>19</v>
      </c>
      <c r="H652" s="23">
        <v>45439</v>
      </c>
      <c r="I652" s="19">
        <f>IF(F652="是",VLOOKUP(G652,[148]Sheet2!A:C,3,FALSE),VLOOKUP(G652,[148]Sheet2!A:B,2,FALSE))</f>
        <v>600</v>
      </c>
      <c r="J652" s="24" t="s">
        <v>20</v>
      </c>
      <c r="K652" s="25"/>
    </row>
    <row r="653" s="6" customFormat="1" ht="31" customHeight="1" spans="1:11">
      <c r="A653" s="19">
        <v>649</v>
      </c>
      <c r="B653" s="20" t="s">
        <v>411</v>
      </c>
      <c r="C653" s="20" t="s">
        <v>730</v>
      </c>
      <c r="D653" s="20" t="s">
        <v>731</v>
      </c>
      <c r="E653" s="21" t="s">
        <v>17</v>
      </c>
      <c r="F653" s="20" t="s">
        <v>18</v>
      </c>
      <c r="G653" s="20" t="s">
        <v>19</v>
      </c>
      <c r="H653" s="23">
        <v>45345</v>
      </c>
      <c r="I653" s="19">
        <f>IF(F653="是",VLOOKUP(G653,[149]Sheet2!A:C,3,FALSE),VLOOKUP(G653,[149]Sheet2!A:B,2,FALSE))</f>
        <v>600</v>
      </c>
      <c r="J653" s="24" t="s">
        <v>20</v>
      </c>
      <c r="K653" s="25"/>
    </row>
    <row r="654" s="6" customFormat="1" ht="31" customHeight="1" spans="1:11">
      <c r="A654" s="19">
        <v>650</v>
      </c>
      <c r="B654" s="20" t="s">
        <v>411</v>
      </c>
      <c r="C654" s="20" t="s">
        <v>730</v>
      </c>
      <c r="D654" s="20" t="s">
        <v>732</v>
      </c>
      <c r="E654" s="21" t="s">
        <v>17</v>
      </c>
      <c r="F654" s="20" t="s">
        <v>18</v>
      </c>
      <c r="G654" s="20" t="s">
        <v>19</v>
      </c>
      <c r="H654" s="23">
        <v>45345</v>
      </c>
      <c r="I654" s="19">
        <v>600</v>
      </c>
      <c r="J654" s="24" t="s">
        <v>20</v>
      </c>
      <c r="K654" s="25"/>
    </row>
    <row r="655" s="6" customFormat="1" ht="31" customHeight="1" spans="1:11">
      <c r="A655" s="19">
        <v>651</v>
      </c>
      <c r="B655" s="20" t="s">
        <v>411</v>
      </c>
      <c r="C655" s="20" t="s">
        <v>730</v>
      </c>
      <c r="D655" s="20" t="s">
        <v>733</v>
      </c>
      <c r="E655" s="21" t="s">
        <v>17</v>
      </c>
      <c r="F655" s="20" t="s">
        <v>18</v>
      </c>
      <c r="G655" s="20" t="s">
        <v>19</v>
      </c>
      <c r="H655" s="23">
        <v>45345</v>
      </c>
      <c r="I655" s="19">
        <v>600</v>
      </c>
      <c r="J655" s="24" t="s">
        <v>20</v>
      </c>
      <c r="K655" s="25"/>
    </row>
    <row r="656" s="6" customFormat="1" ht="31" customHeight="1" spans="1:11">
      <c r="A656" s="19">
        <v>652</v>
      </c>
      <c r="B656" s="20" t="s">
        <v>411</v>
      </c>
      <c r="C656" s="20" t="s">
        <v>730</v>
      </c>
      <c r="D656" s="20" t="s">
        <v>734</v>
      </c>
      <c r="E656" s="21" t="s">
        <v>17</v>
      </c>
      <c r="F656" s="20" t="s">
        <v>18</v>
      </c>
      <c r="G656" s="20" t="s">
        <v>29</v>
      </c>
      <c r="H656" s="23">
        <v>45345</v>
      </c>
      <c r="I656" s="19">
        <v>800</v>
      </c>
      <c r="J656" s="24" t="s">
        <v>20</v>
      </c>
      <c r="K656" s="25"/>
    </row>
    <row r="657" s="6" customFormat="1" ht="31" customHeight="1" spans="1:11">
      <c r="A657" s="19">
        <v>653</v>
      </c>
      <c r="B657" s="20" t="s">
        <v>411</v>
      </c>
      <c r="C657" s="20" t="s">
        <v>730</v>
      </c>
      <c r="D657" s="20" t="s">
        <v>735</v>
      </c>
      <c r="E657" s="21" t="s">
        <v>17</v>
      </c>
      <c r="F657" s="20" t="s">
        <v>18</v>
      </c>
      <c r="G657" s="20" t="s">
        <v>19</v>
      </c>
      <c r="H657" s="23">
        <v>45345</v>
      </c>
      <c r="I657" s="19">
        <v>600</v>
      </c>
      <c r="J657" s="24" t="s">
        <v>20</v>
      </c>
      <c r="K657" s="25"/>
    </row>
    <row r="658" s="6" customFormat="1" ht="31" customHeight="1" spans="1:11">
      <c r="A658" s="19">
        <v>654</v>
      </c>
      <c r="B658" s="20" t="s">
        <v>411</v>
      </c>
      <c r="C658" s="20" t="s">
        <v>730</v>
      </c>
      <c r="D658" s="20" t="s">
        <v>736</v>
      </c>
      <c r="E658" s="21" t="s">
        <v>17</v>
      </c>
      <c r="F658" s="20" t="s">
        <v>18</v>
      </c>
      <c r="G658" s="20" t="s">
        <v>19</v>
      </c>
      <c r="H658" s="23">
        <v>45345</v>
      </c>
      <c r="I658" s="19">
        <v>600</v>
      </c>
      <c r="J658" s="24" t="s">
        <v>20</v>
      </c>
      <c r="K658" s="25"/>
    </row>
    <row r="659" s="6" customFormat="1" ht="31" customHeight="1" spans="1:11">
      <c r="A659" s="19">
        <v>655</v>
      </c>
      <c r="B659" s="20" t="s">
        <v>411</v>
      </c>
      <c r="C659" s="20" t="s">
        <v>730</v>
      </c>
      <c r="D659" s="20" t="s">
        <v>737</v>
      </c>
      <c r="E659" s="21" t="s">
        <v>17</v>
      </c>
      <c r="F659" s="20" t="s">
        <v>18</v>
      </c>
      <c r="G659" s="20" t="s">
        <v>19</v>
      </c>
      <c r="H659" s="23">
        <v>45444</v>
      </c>
      <c r="I659" s="19">
        <v>600</v>
      </c>
      <c r="J659" s="24" t="s">
        <v>20</v>
      </c>
      <c r="K659" s="25"/>
    </row>
    <row r="660" s="6" customFormat="1" ht="31" customHeight="1" spans="1:11">
      <c r="A660" s="19">
        <v>656</v>
      </c>
      <c r="B660" s="20" t="s">
        <v>411</v>
      </c>
      <c r="C660" s="20" t="s">
        <v>730</v>
      </c>
      <c r="D660" s="20" t="s">
        <v>738</v>
      </c>
      <c r="E660" s="21" t="s">
        <v>17</v>
      </c>
      <c r="F660" s="20" t="s">
        <v>18</v>
      </c>
      <c r="G660" s="20" t="s">
        <v>19</v>
      </c>
      <c r="H660" s="23">
        <v>45352</v>
      </c>
      <c r="I660" s="19">
        <v>600</v>
      </c>
      <c r="J660" s="24" t="s">
        <v>20</v>
      </c>
      <c r="K660" s="25"/>
    </row>
    <row r="661" s="6" customFormat="1" ht="31" customHeight="1" spans="1:11">
      <c r="A661" s="19">
        <v>657</v>
      </c>
      <c r="B661" s="20" t="s">
        <v>411</v>
      </c>
      <c r="C661" s="20" t="s">
        <v>730</v>
      </c>
      <c r="D661" s="20" t="s">
        <v>739</v>
      </c>
      <c r="E661" s="21" t="s">
        <v>17</v>
      </c>
      <c r="F661" s="20" t="s">
        <v>18</v>
      </c>
      <c r="G661" s="20" t="s">
        <v>98</v>
      </c>
      <c r="H661" s="23">
        <v>45345</v>
      </c>
      <c r="I661" s="19">
        <v>800</v>
      </c>
      <c r="J661" s="24" t="s">
        <v>20</v>
      </c>
      <c r="K661" s="25"/>
    </row>
    <row r="662" s="6" customFormat="1" ht="31" customHeight="1" spans="1:11">
      <c r="A662" s="19">
        <v>658</v>
      </c>
      <c r="B662" s="20" t="s">
        <v>411</v>
      </c>
      <c r="C662" s="20" t="s">
        <v>730</v>
      </c>
      <c r="D662" s="20" t="s">
        <v>740</v>
      </c>
      <c r="E662" s="21" t="s">
        <v>17</v>
      </c>
      <c r="F662" s="20" t="s">
        <v>18</v>
      </c>
      <c r="G662" s="20" t="s">
        <v>19</v>
      </c>
      <c r="H662" s="23">
        <v>45345</v>
      </c>
      <c r="I662" s="19">
        <v>600</v>
      </c>
      <c r="J662" s="24" t="s">
        <v>20</v>
      </c>
      <c r="K662" s="25"/>
    </row>
    <row r="663" s="6" customFormat="1" ht="31" customHeight="1" spans="1:11">
      <c r="A663" s="19">
        <v>659</v>
      </c>
      <c r="B663" s="20" t="s">
        <v>411</v>
      </c>
      <c r="C663" s="20" t="s">
        <v>730</v>
      </c>
      <c r="D663" s="20" t="s">
        <v>741</v>
      </c>
      <c r="E663" s="21" t="s">
        <v>17</v>
      </c>
      <c r="F663" s="20" t="s">
        <v>18</v>
      </c>
      <c r="G663" s="20" t="s">
        <v>19</v>
      </c>
      <c r="H663" s="23">
        <v>45345</v>
      </c>
      <c r="I663" s="19">
        <v>600</v>
      </c>
      <c r="J663" s="24" t="s">
        <v>20</v>
      </c>
      <c r="K663" s="25"/>
    </row>
    <row r="664" s="6" customFormat="1" ht="31" customHeight="1" spans="1:11">
      <c r="A664" s="19">
        <v>660</v>
      </c>
      <c r="B664" s="20" t="s">
        <v>411</v>
      </c>
      <c r="C664" s="20" t="s">
        <v>730</v>
      </c>
      <c r="D664" s="20" t="s">
        <v>742</v>
      </c>
      <c r="E664" s="21" t="s">
        <v>17</v>
      </c>
      <c r="F664" s="20" t="s">
        <v>18</v>
      </c>
      <c r="G664" s="20" t="s">
        <v>19</v>
      </c>
      <c r="H664" s="23">
        <v>45345</v>
      </c>
      <c r="I664" s="19">
        <v>600</v>
      </c>
      <c r="J664" s="24" t="s">
        <v>20</v>
      </c>
      <c r="K664" s="25"/>
    </row>
    <row r="665" s="6" customFormat="1" ht="31" customHeight="1" spans="1:11">
      <c r="A665" s="19">
        <v>661</v>
      </c>
      <c r="B665" s="20" t="s">
        <v>411</v>
      </c>
      <c r="C665" s="20" t="s">
        <v>730</v>
      </c>
      <c r="D665" s="20" t="s">
        <v>743</v>
      </c>
      <c r="E665" s="21" t="s">
        <v>17</v>
      </c>
      <c r="F665" s="20" t="s">
        <v>18</v>
      </c>
      <c r="G665" s="20" t="s">
        <v>19</v>
      </c>
      <c r="H665" s="23">
        <v>45345</v>
      </c>
      <c r="I665" s="19">
        <v>600</v>
      </c>
      <c r="J665" s="24" t="s">
        <v>20</v>
      </c>
      <c r="K665" s="25"/>
    </row>
    <row r="666" s="6" customFormat="1" ht="31" customHeight="1" spans="1:11">
      <c r="A666" s="19">
        <v>662</v>
      </c>
      <c r="B666" s="20" t="s">
        <v>411</v>
      </c>
      <c r="C666" s="20" t="s">
        <v>730</v>
      </c>
      <c r="D666" s="20" t="s">
        <v>744</v>
      </c>
      <c r="E666" s="21" t="s">
        <v>17</v>
      </c>
      <c r="F666" s="20" t="s">
        <v>18</v>
      </c>
      <c r="G666" s="20" t="s">
        <v>19</v>
      </c>
      <c r="H666" s="23">
        <v>45345</v>
      </c>
      <c r="I666" s="19">
        <v>600</v>
      </c>
      <c r="J666" s="24" t="s">
        <v>20</v>
      </c>
      <c r="K666" s="25"/>
    </row>
    <row r="667" s="6" customFormat="1" ht="31" customHeight="1" spans="1:11">
      <c r="A667" s="19">
        <v>663</v>
      </c>
      <c r="B667" s="20" t="s">
        <v>411</v>
      </c>
      <c r="C667" s="20" t="s">
        <v>730</v>
      </c>
      <c r="D667" s="20" t="s">
        <v>745</v>
      </c>
      <c r="E667" s="21" t="s">
        <v>17</v>
      </c>
      <c r="F667" s="20" t="s">
        <v>18</v>
      </c>
      <c r="G667" s="20" t="s">
        <v>32</v>
      </c>
      <c r="H667" s="23">
        <v>45345</v>
      </c>
      <c r="I667" s="19">
        <v>800</v>
      </c>
      <c r="J667" s="24" t="s">
        <v>20</v>
      </c>
      <c r="K667" s="25"/>
    </row>
    <row r="668" s="6" customFormat="1" ht="31" customHeight="1" spans="1:11">
      <c r="A668" s="19">
        <v>664</v>
      </c>
      <c r="B668" s="20" t="s">
        <v>411</v>
      </c>
      <c r="C668" s="20" t="s">
        <v>730</v>
      </c>
      <c r="D668" s="20" t="s">
        <v>746</v>
      </c>
      <c r="E668" s="21" t="s">
        <v>17</v>
      </c>
      <c r="F668" s="20" t="s">
        <v>18</v>
      </c>
      <c r="G668" s="20" t="s">
        <v>19</v>
      </c>
      <c r="H668" s="23">
        <v>45345</v>
      </c>
      <c r="I668" s="19">
        <v>600</v>
      </c>
      <c r="J668" s="24" t="s">
        <v>20</v>
      </c>
      <c r="K668" s="25"/>
    </row>
    <row r="669" s="6" customFormat="1" ht="31" customHeight="1" spans="1:11">
      <c r="A669" s="19">
        <v>665</v>
      </c>
      <c r="B669" s="20" t="s">
        <v>411</v>
      </c>
      <c r="C669" s="20" t="s">
        <v>730</v>
      </c>
      <c r="D669" s="20" t="s">
        <v>747</v>
      </c>
      <c r="E669" s="21" t="s">
        <v>17</v>
      </c>
      <c r="F669" s="20" t="s">
        <v>18</v>
      </c>
      <c r="G669" s="20" t="s">
        <v>19</v>
      </c>
      <c r="H669" s="23">
        <v>45345</v>
      </c>
      <c r="I669" s="19">
        <v>600</v>
      </c>
      <c r="J669" s="24" t="s">
        <v>20</v>
      </c>
      <c r="K669" s="25"/>
    </row>
    <row r="670" s="6" customFormat="1" ht="31" customHeight="1" spans="1:11">
      <c r="A670" s="19">
        <v>666</v>
      </c>
      <c r="B670" s="20" t="s">
        <v>411</v>
      </c>
      <c r="C670" s="20" t="s">
        <v>730</v>
      </c>
      <c r="D670" s="20" t="s">
        <v>748</v>
      </c>
      <c r="E670" s="21" t="s">
        <v>17</v>
      </c>
      <c r="F670" s="20" t="s">
        <v>18</v>
      </c>
      <c r="G670" s="20" t="s">
        <v>19</v>
      </c>
      <c r="H670" s="23">
        <v>45345</v>
      </c>
      <c r="I670" s="19">
        <v>600</v>
      </c>
      <c r="J670" s="24" t="s">
        <v>20</v>
      </c>
      <c r="K670" s="25"/>
    </row>
    <row r="671" s="6" customFormat="1" ht="31" customHeight="1" spans="1:11">
      <c r="A671" s="19">
        <v>667</v>
      </c>
      <c r="B671" s="20" t="s">
        <v>411</v>
      </c>
      <c r="C671" s="20" t="s">
        <v>730</v>
      </c>
      <c r="D671" s="20" t="s">
        <v>749</v>
      </c>
      <c r="E671" s="21" t="s">
        <v>17</v>
      </c>
      <c r="F671" s="20" t="s">
        <v>18</v>
      </c>
      <c r="G671" s="20" t="s">
        <v>19</v>
      </c>
      <c r="H671" s="23">
        <v>45352</v>
      </c>
      <c r="I671" s="19">
        <v>600</v>
      </c>
      <c r="J671" s="24" t="s">
        <v>20</v>
      </c>
      <c r="K671" s="25"/>
    </row>
    <row r="672" s="6" customFormat="1" ht="31" customHeight="1" spans="1:11">
      <c r="A672" s="19">
        <v>668</v>
      </c>
      <c r="B672" s="20" t="s">
        <v>411</v>
      </c>
      <c r="C672" s="20" t="s">
        <v>730</v>
      </c>
      <c r="D672" s="20" t="s">
        <v>750</v>
      </c>
      <c r="E672" s="21" t="s">
        <v>17</v>
      </c>
      <c r="F672" s="20" t="s">
        <v>18</v>
      </c>
      <c r="G672" s="20" t="s">
        <v>19</v>
      </c>
      <c r="H672" s="23">
        <v>45352</v>
      </c>
      <c r="I672" s="19">
        <v>600</v>
      </c>
      <c r="J672" s="24" t="s">
        <v>20</v>
      </c>
      <c r="K672" s="25"/>
    </row>
    <row r="673" s="6" customFormat="1" ht="31" customHeight="1" spans="1:11">
      <c r="A673" s="19">
        <v>669</v>
      </c>
      <c r="B673" s="20" t="s">
        <v>411</v>
      </c>
      <c r="C673" s="20" t="s">
        <v>730</v>
      </c>
      <c r="D673" s="20" t="s">
        <v>751</v>
      </c>
      <c r="E673" s="21" t="s">
        <v>17</v>
      </c>
      <c r="F673" s="20" t="s">
        <v>18</v>
      </c>
      <c r="G673" s="20" t="s">
        <v>19</v>
      </c>
      <c r="H673" s="23">
        <v>45345</v>
      </c>
      <c r="I673" s="19">
        <v>600</v>
      </c>
      <c r="J673" s="24" t="s">
        <v>20</v>
      </c>
      <c r="K673" s="25"/>
    </row>
    <row r="674" s="6" customFormat="1" ht="31" customHeight="1" spans="1:11">
      <c r="A674" s="19">
        <v>670</v>
      </c>
      <c r="B674" s="20" t="s">
        <v>411</v>
      </c>
      <c r="C674" s="20" t="s">
        <v>730</v>
      </c>
      <c r="D674" s="20" t="s">
        <v>752</v>
      </c>
      <c r="E674" s="21" t="s">
        <v>17</v>
      </c>
      <c r="F674" s="20" t="s">
        <v>18</v>
      </c>
      <c r="G674" s="20" t="s">
        <v>19</v>
      </c>
      <c r="H674" s="23">
        <v>45292</v>
      </c>
      <c r="I674" s="19">
        <v>600</v>
      </c>
      <c r="J674" s="24" t="s">
        <v>20</v>
      </c>
      <c r="K674" s="25"/>
    </row>
    <row r="675" s="6" customFormat="1" ht="31" customHeight="1" spans="1:11">
      <c r="A675" s="19">
        <v>671</v>
      </c>
      <c r="B675" s="20" t="s">
        <v>411</v>
      </c>
      <c r="C675" s="20" t="s">
        <v>730</v>
      </c>
      <c r="D675" s="20" t="s">
        <v>753</v>
      </c>
      <c r="E675" s="21" t="s">
        <v>17</v>
      </c>
      <c r="F675" s="20" t="s">
        <v>18</v>
      </c>
      <c r="G675" s="20" t="s">
        <v>19</v>
      </c>
      <c r="H675" s="23">
        <v>45444</v>
      </c>
      <c r="I675" s="19">
        <v>600</v>
      </c>
      <c r="J675" s="24" t="s">
        <v>20</v>
      </c>
      <c r="K675" s="25"/>
    </row>
    <row r="676" s="6" customFormat="1" ht="31" customHeight="1" spans="1:11">
      <c r="A676" s="19">
        <v>672</v>
      </c>
      <c r="B676" s="20" t="s">
        <v>411</v>
      </c>
      <c r="C676" s="20" t="s">
        <v>730</v>
      </c>
      <c r="D676" s="20" t="s">
        <v>754</v>
      </c>
      <c r="E676" s="21" t="s">
        <v>17</v>
      </c>
      <c r="F676" s="20" t="s">
        <v>18</v>
      </c>
      <c r="G676" s="20" t="s">
        <v>32</v>
      </c>
      <c r="H676" s="23">
        <v>45352</v>
      </c>
      <c r="I676" s="19">
        <v>800</v>
      </c>
      <c r="J676" s="24" t="s">
        <v>20</v>
      </c>
      <c r="K676" s="25"/>
    </row>
    <row r="677" ht="31" customHeight="1" spans="1:11">
      <c r="A677" s="19">
        <v>673</v>
      </c>
      <c r="B677" s="20" t="s">
        <v>411</v>
      </c>
      <c r="C677" s="20" t="s">
        <v>730</v>
      </c>
      <c r="D677" s="20" t="s">
        <v>755</v>
      </c>
      <c r="E677" s="21" t="s">
        <v>17</v>
      </c>
      <c r="F677" s="20" t="s">
        <v>18</v>
      </c>
      <c r="G677" s="20" t="s">
        <v>19</v>
      </c>
      <c r="H677" s="23">
        <v>45323</v>
      </c>
      <c r="I677" s="19">
        <v>600</v>
      </c>
      <c r="J677" s="24" t="s">
        <v>20</v>
      </c>
      <c r="K677" s="36"/>
    </row>
    <row r="678" ht="31" customHeight="1" spans="1:11">
      <c r="A678" s="19">
        <v>674</v>
      </c>
      <c r="B678" s="20" t="s">
        <v>411</v>
      </c>
      <c r="C678" s="20" t="s">
        <v>730</v>
      </c>
      <c r="D678" s="20" t="s">
        <v>756</v>
      </c>
      <c r="E678" s="21" t="s">
        <v>17</v>
      </c>
      <c r="F678" s="20" t="s">
        <v>18</v>
      </c>
      <c r="G678" s="20" t="s">
        <v>19</v>
      </c>
      <c r="H678" s="23">
        <v>45323</v>
      </c>
      <c r="I678" s="19">
        <v>600</v>
      </c>
      <c r="J678" s="24" t="s">
        <v>20</v>
      </c>
      <c r="K678" s="36"/>
    </row>
    <row r="679" ht="31" customHeight="1" spans="1:11">
      <c r="A679" s="19">
        <v>675</v>
      </c>
      <c r="B679" s="20" t="s">
        <v>411</v>
      </c>
      <c r="C679" s="20" t="s">
        <v>730</v>
      </c>
      <c r="D679" s="20" t="s">
        <v>757</v>
      </c>
      <c r="E679" s="21" t="s">
        <v>17</v>
      </c>
      <c r="F679" s="20" t="s">
        <v>18</v>
      </c>
      <c r="G679" s="20" t="s">
        <v>19</v>
      </c>
      <c r="H679" s="23">
        <v>45323</v>
      </c>
      <c r="I679" s="19">
        <v>600</v>
      </c>
      <c r="J679" s="24" t="s">
        <v>20</v>
      </c>
      <c r="K679" s="36"/>
    </row>
    <row r="680" ht="31" customHeight="1" spans="1:11">
      <c r="A680" s="19">
        <v>676</v>
      </c>
      <c r="B680" s="20" t="s">
        <v>411</v>
      </c>
      <c r="C680" s="20" t="s">
        <v>730</v>
      </c>
      <c r="D680" s="20" t="s">
        <v>758</v>
      </c>
      <c r="E680" s="21" t="s">
        <v>17</v>
      </c>
      <c r="F680" s="20" t="s">
        <v>18</v>
      </c>
      <c r="G680" s="20" t="s">
        <v>19</v>
      </c>
      <c r="H680" s="23">
        <v>45323</v>
      </c>
      <c r="I680" s="19">
        <v>600</v>
      </c>
      <c r="J680" s="24" t="s">
        <v>20</v>
      </c>
      <c r="K680" s="36"/>
    </row>
    <row r="681" ht="31" customHeight="1" spans="1:11">
      <c r="A681" s="19">
        <v>677</v>
      </c>
      <c r="B681" s="20" t="s">
        <v>411</v>
      </c>
      <c r="C681" s="20" t="s">
        <v>730</v>
      </c>
      <c r="D681" s="20" t="s">
        <v>759</v>
      </c>
      <c r="E681" s="21" t="s">
        <v>17</v>
      </c>
      <c r="F681" s="20" t="s">
        <v>18</v>
      </c>
      <c r="G681" s="20" t="s">
        <v>19</v>
      </c>
      <c r="H681" s="23">
        <v>45352</v>
      </c>
      <c r="I681" s="19">
        <v>600</v>
      </c>
      <c r="J681" s="24" t="s">
        <v>20</v>
      </c>
      <c r="K681" s="36"/>
    </row>
    <row r="682" ht="31" customHeight="1" spans="1:11">
      <c r="A682" s="19">
        <v>678</v>
      </c>
      <c r="B682" s="20" t="s">
        <v>411</v>
      </c>
      <c r="C682" s="20" t="s">
        <v>730</v>
      </c>
      <c r="D682" s="20" t="s">
        <v>760</v>
      </c>
      <c r="E682" s="21" t="s">
        <v>17</v>
      </c>
      <c r="F682" s="20" t="s">
        <v>18</v>
      </c>
      <c r="G682" s="20" t="s">
        <v>19</v>
      </c>
      <c r="H682" s="23">
        <v>45352</v>
      </c>
      <c r="I682" s="19">
        <v>600</v>
      </c>
      <c r="J682" s="24" t="s">
        <v>20</v>
      </c>
      <c r="K682" s="36"/>
    </row>
    <row r="683" ht="31" customHeight="1" spans="1:11">
      <c r="A683" s="19">
        <v>679</v>
      </c>
      <c r="B683" s="20" t="s">
        <v>411</v>
      </c>
      <c r="C683" s="20" t="s">
        <v>730</v>
      </c>
      <c r="D683" s="20" t="s">
        <v>761</v>
      </c>
      <c r="E683" s="21" t="s">
        <v>17</v>
      </c>
      <c r="F683" s="20" t="s">
        <v>18</v>
      </c>
      <c r="G683" s="20" t="s">
        <v>19</v>
      </c>
      <c r="H683" s="23">
        <v>45413</v>
      </c>
      <c r="I683" s="19">
        <v>600</v>
      </c>
      <c r="J683" s="24" t="s">
        <v>20</v>
      </c>
      <c r="K683" s="36"/>
    </row>
    <row r="684" ht="31" customHeight="1" spans="1:11">
      <c r="A684" s="19">
        <v>680</v>
      </c>
      <c r="B684" s="20" t="s">
        <v>411</v>
      </c>
      <c r="C684" s="20" t="s">
        <v>730</v>
      </c>
      <c r="D684" s="20" t="s">
        <v>762</v>
      </c>
      <c r="E684" s="21" t="s">
        <v>17</v>
      </c>
      <c r="F684" s="20" t="s">
        <v>18</v>
      </c>
      <c r="G684" s="20" t="s">
        <v>19</v>
      </c>
      <c r="H684" s="23">
        <v>45352</v>
      </c>
      <c r="I684" s="19">
        <v>600</v>
      </c>
      <c r="J684" s="24" t="s">
        <v>20</v>
      </c>
      <c r="K684" s="36"/>
    </row>
    <row r="685" ht="31" customHeight="1" spans="1:11">
      <c r="A685" s="19">
        <v>681</v>
      </c>
      <c r="B685" s="20" t="s">
        <v>411</v>
      </c>
      <c r="C685" s="20" t="s">
        <v>730</v>
      </c>
      <c r="D685" s="20" t="s">
        <v>763</v>
      </c>
      <c r="E685" s="21" t="s">
        <v>17</v>
      </c>
      <c r="F685" s="20" t="s">
        <v>18</v>
      </c>
      <c r="G685" s="20" t="s">
        <v>19</v>
      </c>
      <c r="H685" s="23">
        <v>45323</v>
      </c>
      <c r="I685" s="19">
        <v>600</v>
      </c>
      <c r="J685" s="24" t="s">
        <v>20</v>
      </c>
      <c r="K685" s="36"/>
    </row>
    <row r="686" ht="31" customHeight="1" spans="1:11">
      <c r="A686" s="19">
        <v>682</v>
      </c>
      <c r="B686" s="20" t="s">
        <v>411</v>
      </c>
      <c r="C686" s="20" t="s">
        <v>730</v>
      </c>
      <c r="D686" s="20" t="s">
        <v>764</v>
      </c>
      <c r="E686" s="21" t="s">
        <v>17</v>
      </c>
      <c r="F686" s="20" t="s">
        <v>18</v>
      </c>
      <c r="G686" s="20" t="s">
        <v>19</v>
      </c>
      <c r="H686" s="23">
        <v>45323</v>
      </c>
      <c r="I686" s="19">
        <v>600</v>
      </c>
      <c r="J686" s="24" t="s">
        <v>20</v>
      </c>
      <c r="K686" s="36"/>
    </row>
    <row r="687" ht="31" customHeight="1" spans="1:11">
      <c r="A687" s="19">
        <v>683</v>
      </c>
      <c r="B687" s="20" t="s">
        <v>411</v>
      </c>
      <c r="C687" s="20" t="s">
        <v>730</v>
      </c>
      <c r="D687" s="20" t="s">
        <v>765</v>
      </c>
      <c r="E687" s="21" t="s">
        <v>17</v>
      </c>
      <c r="F687" s="20" t="s">
        <v>18</v>
      </c>
      <c r="G687" s="20" t="s">
        <v>19</v>
      </c>
      <c r="H687" s="23">
        <v>45323</v>
      </c>
      <c r="I687" s="19">
        <v>600</v>
      </c>
      <c r="J687" s="24" t="s">
        <v>20</v>
      </c>
      <c r="K687" s="36"/>
    </row>
    <row r="688" ht="31" customHeight="1" spans="1:11">
      <c r="A688" s="19">
        <v>684</v>
      </c>
      <c r="B688" s="20" t="s">
        <v>411</v>
      </c>
      <c r="C688" s="20" t="s">
        <v>730</v>
      </c>
      <c r="D688" s="20" t="s">
        <v>766</v>
      </c>
      <c r="E688" s="21" t="s">
        <v>17</v>
      </c>
      <c r="F688" s="20" t="s">
        <v>18</v>
      </c>
      <c r="G688" s="20" t="s">
        <v>19</v>
      </c>
      <c r="H688" s="23">
        <v>45323</v>
      </c>
      <c r="I688" s="19">
        <v>600</v>
      </c>
      <c r="J688" s="24" t="s">
        <v>20</v>
      </c>
      <c r="K688" s="36"/>
    </row>
    <row r="689" ht="31" customHeight="1" spans="1:11">
      <c r="A689" s="19">
        <v>685</v>
      </c>
      <c r="B689" s="20" t="s">
        <v>411</v>
      </c>
      <c r="C689" s="20" t="s">
        <v>730</v>
      </c>
      <c r="D689" s="20" t="s">
        <v>767</v>
      </c>
      <c r="E689" s="21" t="s">
        <v>17</v>
      </c>
      <c r="F689" s="20" t="s">
        <v>18</v>
      </c>
      <c r="G689" s="20" t="s">
        <v>19</v>
      </c>
      <c r="H689" s="23">
        <v>45292</v>
      </c>
      <c r="I689" s="19">
        <v>600</v>
      </c>
      <c r="J689" s="24" t="s">
        <v>20</v>
      </c>
      <c r="K689" s="36"/>
    </row>
    <row r="690" ht="31" customHeight="1" spans="1:11">
      <c r="A690" s="19">
        <v>686</v>
      </c>
      <c r="B690" s="20" t="s">
        <v>411</v>
      </c>
      <c r="C690" s="20" t="s">
        <v>730</v>
      </c>
      <c r="D690" s="20" t="s">
        <v>768</v>
      </c>
      <c r="E690" s="21" t="s">
        <v>17</v>
      </c>
      <c r="F690" s="20" t="s">
        <v>18</v>
      </c>
      <c r="G690" s="20" t="s">
        <v>19</v>
      </c>
      <c r="H690" s="23">
        <v>45323</v>
      </c>
      <c r="I690" s="19">
        <v>600</v>
      </c>
      <c r="J690" s="24" t="s">
        <v>20</v>
      </c>
      <c r="K690" s="36"/>
    </row>
    <row r="691" ht="31" customHeight="1" spans="1:11">
      <c r="A691" s="19">
        <v>687</v>
      </c>
      <c r="B691" s="20" t="s">
        <v>411</v>
      </c>
      <c r="C691" s="20" t="s">
        <v>730</v>
      </c>
      <c r="D691" s="20" t="s">
        <v>769</v>
      </c>
      <c r="E691" s="21" t="s">
        <v>17</v>
      </c>
      <c r="F691" s="20" t="s">
        <v>18</v>
      </c>
      <c r="G691" s="20" t="s">
        <v>19</v>
      </c>
      <c r="H691" s="23">
        <v>45323</v>
      </c>
      <c r="I691" s="19">
        <v>600</v>
      </c>
      <c r="J691" s="24" t="s">
        <v>20</v>
      </c>
      <c r="K691" s="36"/>
    </row>
    <row r="692" ht="31" customHeight="1" spans="1:11">
      <c r="A692" s="19">
        <v>688</v>
      </c>
      <c r="B692" s="20" t="s">
        <v>411</v>
      </c>
      <c r="C692" s="20" t="s">
        <v>730</v>
      </c>
      <c r="D692" s="20" t="s">
        <v>770</v>
      </c>
      <c r="E692" s="21" t="s">
        <v>17</v>
      </c>
      <c r="F692" s="20" t="s">
        <v>18</v>
      </c>
      <c r="G692" s="20" t="s">
        <v>19</v>
      </c>
      <c r="H692" s="23">
        <v>45323</v>
      </c>
      <c r="I692" s="19">
        <v>600</v>
      </c>
      <c r="J692" s="24" t="s">
        <v>20</v>
      </c>
      <c r="K692" s="36"/>
    </row>
    <row r="693" ht="31" customHeight="1" spans="1:11">
      <c r="A693" s="19">
        <v>689</v>
      </c>
      <c r="B693" s="20" t="s">
        <v>411</v>
      </c>
      <c r="C693" s="20" t="s">
        <v>730</v>
      </c>
      <c r="D693" s="20" t="s">
        <v>771</v>
      </c>
      <c r="E693" s="21" t="s">
        <v>17</v>
      </c>
      <c r="F693" s="20" t="s">
        <v>18</v>
      </c>
      <c r="G693" s="20" t="s">
        <v>19</v>
      </c>
      <c r="H693" s="23">
        <v>45323</v>
      </c>
      <c r="I693" s="19">
        <v>600</v>
      </c>
      <c r="J693" s="24" t="s">
        <v>20</v>
      </c>
      <c r="K693" s="36"/>
    </row>
    <row r="694" ht="31" customHeight="1" spans="1:11">
      <c r="A694" s="19">
        <v>690</v>
      </c>
      <c r="B694" s="20" t="s">
        <v>411</v>
      </c>
      <c r="C694" s="20" t="s">
        <v>730</v>
      </c>
      <c r="D694" s="20" t="s">
        <v>772</v>
      </c>
      <c r="E694" s="21" t="s">
        <v>17</v>
      </c>
      <c r="F694" s="20" t="s">
        <v>18</v>
      </c>
      <c r="G694" s="20" t="s">
        <v>19</v>
      </c>
      <c r="H694" s="23">
        <v>45323</v>
      </c>
      <c r="I694" s="19">
        <v>600</v>
      </c>
      <c r="J694" s="24" t="s">
        <v>20</v>
      </c>
      <c r="K694" s="36"/>
    </row>
    <row r="695" ht="31" customHeight="1" spans="1:11">
      <c r="A695" s="19">
        <v>691</v>
      </c>
      <c r="B695" s="20" t="s">
        <v>411</v>
      </c>
      <c r="C695" s="20" t="s">
        <v>773</v>
      </c>
      <c r="D695" s="20" t="s">
        <v>774</v>
      </c>
      <c r="E695" s="21" t="s">
        <v>17</v>
      </c>
      <c r="F695" s="20" t="s">
        <v>18</v>
      </c>
      <c r="G695" s="20" t="s">
        <v>32</v>
      </c>
      <c r="H695" s="23">
        <v>45323</v>
      </c>
      <c r="I695" s="19">
        <f>IF(F695="是",VLOOKUP(G695,[150]Sheet2!A:C,3,FALSE),VLOOKUP(G695,[150]Sheet2!A:B,2,FALSE))</f>
        <v>800</v>
      </c>
      <c r="J695" s="24" t="s">
        <v>20</v>
      </c>
      <c r="K695" s="36"/>
    </row>
    <row r="696" ht="31" customHeight="1" spans="1:11">
      <c r="A696" s="19">
        <v>692</v>
      </c>
      <c r="B696" s="20" t="s">
        <v>411</v>
      </c>
      <c r="C696" s="20" t="s">
        <v>773</v>
      </c>
      <c r="D696" s="20" t="s">
        <v>775</v>
      </c>
      <c r="E696" s="21" t="s">
        <v>17</v>
      </c>
      <c r="F696" s="20" t="s">
        <v>18</v>
      </c>
      <c r="G696" s="20" t="s">
        <v>32</v>
      </c>
      <c r="H696" s="23">
        <v>45323</v>
      </c>
      <c r="I696" s="19">
        <f>IF(F696="是",VLOOKUP(G696,[150]Sheet2!A:C,3,FALSE),VLOOKUP(G696,[150]Sheet2!A:B,2,FALSE))</f>
        <v>800</v>
      </c>
      <c r="J696" s="24" t="s">
        <v>20</v>
      </c>
      <c r="K696" s="36"/>
    </row>
    <row r="697" ht="31" customHeight="1" spans="1:11">
      <c r="A697" s="19">
        <v>693</v>
      </c>
      <c r="B697" s="20" t="s">
        <v>411</v>
      </c>
      <c r="C697" s="20" t="s">
        <v>773</v>
      </c>
      <c r="D697" s="20" t="s">
        <v>776</v>
      </c>
      <c r="E697" s="21" t="s">
        <v>17</v>
      </c>
      <c r="F697" s="20" t="s">
        <v>18</v>
      </c>
      <c r="G697" s="20" t="s">
        <v>19</v>
      </c>
      <c r="H697" s="23">
        <v>45383</v>
      </c>
      <c r="I697" s="19">
        <f>IF(F697="是",VLOOKUP(G697,[150]Sheet2!A:C,3,FALSE),VLOOKUP(G697,[150]Sheet2!A:B,2,FALSE))</f>
        <v>600</v>
      </c>
      <c r="J697" s="24" t="s">
        <v>20</v>
      </c>
      <c r="K697" s="36"/>
    </row>
    <row r="698" ht="31" customHeight="1" spans="1:11">
      <c r="A698" s="19">
        <v>694</v>
      </c>
      <c r="B698" s="20" t="s">
        <v>411</v>
      </c>
      <c r="C698" s="20" t="s">
        <v>773</v>
      </c>
      <c r="D698" s="20" t="s">
        <v>777</v>
      </c>
      <c r="E698" s="21" t="s">
        <v>17</v>
      </c>
      <c r="F698" s="20" t="s">
        <v>18</v>
      </c>
      <c r="G698" s="20" t="s">
        <v>19</v>
      </c>
      <c r="H698" s="23">
        <v>45323</v>
      </c>
      <c r="I698" s="19">
        <f>IF(F698="是",VLOOKUP(G698,[150]Sheet2!A:C,3,FALSE),VLOOKUP(G698,[150]Sheet2!A:B,2,FALSE))</f>
        <v>600</v>
      </c>
      <c r="J698" s="24" t="s">
        <v>20</v>
      </c>
      <c r="K698" s="36"/>
    </row>
    <row r="699" ht="31" customHeight="1" spans="1:11">
      <c r="A699" s="19">
        <v>695</v>
      </c>
      <c r="B699" s="20" t="s">
        <v>411</v>
      </c>
      <c r="C699" s="20" t="s">
        <v>773</v>
      </c>
      <c r="D699" s="20" t="s">
        <v>778</v>
      </c>
      <c r="E699" s="21" t="s">
        <v>17</v>
      </c>
      <c r="F699" s="20" t="s">
        <v>18</v>
      </c>
      <c r="G699" s="20" t="s">
        <v>19</v>
      </c>
      <c r="H699" s="23">
        <v>45324</v>
      </c>
      <c r="I699" s="19">
        <f>IF(F699="是",VLOOKUP(G699,[150]Sheet2!A:C,3,FALSE),VLOOKUP(G699,[150]Sheet2!A:B,2,FALSE))</f>
        <v>600</v>
      </c>
      <c r="J699" s="24" t="s">
        <v>20</v>
      </c>
      <c r="K699" s="36"/>
    </row>
    <row r="700" ht="31" customHeight="1" spans="1:11">
      <c r="A700" s="19">
        <v>696</v>
      </c>
      <c r="B700" s="20" t="s">
        <v>411</v>
      </c>
      <c r="C700" s="20" t="s">
        <v>773</v>
      </c>
      <c r="D700" s="20" t="s">
        <v>779</v>
      </c>
      <c r="E700" s="21" t="s">
        <v>17</v>
      </c>
      <c r="F700" s="20" t="s">
        <v>18</v>
      </c>
      <c r="G700" s="20" t="s">
        <v>19</v>
      </c>
      <c r="H700" s="23">
        <v>45323</v>
      </c>
      <c r="I700" s="19">
        <f>IF(F700="是",VLOOKUP(G700,[150]Sheet2!A:C,3,FALSE),VLOOKUP(G700,[150]Sheet2!A:B,2,FALSE))</f>
        <v>600</v>
      </c>
      <c r="J700" s="24" t="s">
        <v>20</v>
      </c>
      <c r="K700" s="36"/>
    </row>
    <row r="701" ht="31" customHeight="1" spans="1:11">
      <c r="A701" s="19">
        <v>697</v>
      </c>
      <c r="B701" s="20" t="s">
        <v>411</v>
      </c>
      <c r="C701" s="20" t="s">
        <v>773</v>
      </c>
      <c r="D701" s="20" t="s">
        <v>780</v>
      </c>
      <c r="E701" s="21" t="s">
        <v>781</v>
      </c>
      <c r="F701" s="20" t="s">
        <v>18</v>
      </c>
      <c r="G701" s="20" t="s">
        <v>19</v>
      </c>
      <c r="H701" s="23">
        <v>45413</v>
      </c>
      <c r="I701" s="19">
        <f>IF(F701="是",VLOOKUP(G701,[150]Sheet2!A:C,3,FALSE),VLOOKUP(G701,[150]Sheet2!A:B,2,FALSE))</f>
        <v>600</v>
      </c>
      <c r="J701" s="24" t="s">
        <v>20</v>
      </c>
      <c r="K701" s="36"/>
    </row>
    <row r="702" ht="31" customHeight="1" spans="1:11">
      <c r="A702" s="19">
        <v>698</v>
      </c>
      <c r="B702" s="20" t="s">
        <v>411</v>
      </c>
      <c r="C702" s="20" t="s">
        <v>773</v>
      </c>
      <c r="D702" s="20" t="s">
        <v>782</v>
      </c>
      <c r="E702" s="21" t="s">
        <v>17</v>
      </c>
      <c r="F702" s="20" t="s">
        <v>18</v>
      </c>
      <c r="G702" s="20" t="s">
        <v>98</v>
      </c>
      <c r="H702" s="23">
        <v>45292</v>
      </c>
      <c r="I702" s="19">
        <f>IF(F702="是",VLOOKUP(G702,[150]Sheet2!A:C,3,FALSE),VLOOKUP(G702,[150]Sheet2!A:B,2,FALSE))</f>
        <v>800</v>
      </c>
      <c r="J702" s="24" t="s">
        <v>20</v>
      </c>
      <c r="K702" s="36"/>
    </row>
    <row r="703" ht="31" customHeight="1" spans="1:11">
      <c r="A703" s="19">
        <v>699</v>
      </c>
      <c r="B703" s="20" t="s">
        <v>411</v>
      </c>
      <c r="C703" s="20" t="s">
        <v>773</v>
      </c>
      <c r="D703" s="20" t="s">
        <v>783</v>
      </c>
      <c r="E703" s="21" t="s">
        <v>17</v>
      </c>
      <c r="F703" s="20" t="s">
        <v>18</v>
      </c>
      <c r="G703" s="20" t="s">
        <v>19</v>
      </c>
      <c r="H703" s="23">
        <v>45352</v>
      </c>
      <c r="I703" s="19">
        <f>IF(F703="是",VLOOKUP(G703,[150]Sheet2!A:C,3,FALSE),VLOOKUP(G703,[150]Sheet2!A:B,2,FALSE))</f>
        <v>600</v>
      </c>
      <c r="J703" s="24" t="s">
        <v>20</v>
      </c>
      <c r="K703" s="36"/>
    </row>
    <row r="704" ht="31" customHeight="1" spans="1:11">
      <c r="A704" s="19">
        <v>700</v>
      </c>
      <c r="B704" s="20" t="s">
        <v>411</v>
      </c>
      <c r="C704" s="20" t="s">
        <v>773</v>
      </c>
      <c r="D704" s="20" t="s">
        <v>784</v>
      </c>
      <c r="E704" s="21" t="s">
        <v>17</v>
      </c>
      <c r="F704" s="20" t="s">
        <v>18</v>
      </c>
      <c r="G704" s="20" t="s">
        <v>19</v>
      </c>
      <c r="H704" s="23">
        <v>45352</v>
      </c>
      <c r="I704" s="19">
        <f>IF(F704="是",VLOOKUP(G704,[150]Sheet2!A:C,3,FALSE),VLOOKUP(G704,[150]Sheet2!A:B,2,FALSE))</f>
        <v>600</v>
      </c>
      <c r="J704" s="24" t="s">
        <v>20</v>
      </c>
      <c r="K704" s="36"/>
    </row>
    <row r="705" ht="31" customHeight="1" spans="1:11">
      <c r="A705" s="19">
        <v>701</v>
      </c>
      <c r="B705" s="20" t="s">
        <v>411</v>
      </c>
      <c r="C705" s="20" t="s">
        <v>773</v>
      </c>
      <c r="D705" s="20" t="s">
        <v>785</v>
      </c>
      <c r="E705" s="21" t="s">
        <v>17</v>
      </c>
      <c r="F705" s="20" t="s">
        <v>18</v>
      </c>
      <c r="G705" s="20" t="s">
        <v>19</v>
      </c>
      <c r="H705" s="23">
        <v>45352</v>
      </c>
      <c r="I705" s="19">
        <f>IF(F705="是",VLOOKUP(G705,[150]Sheet2!A:C,3,FALSE),VLOOKUP(G705,[150]Sheet2!A:B,2,FALSE))</f>
        <v>600</v>
      </c>
      <c r="J705" s="24" t="s">
        <v>20</v>
      </c>
      <c r="K705" s="36"/>
    </row>
    <row r="706" ht="31" customHeight="1" spans="1:11">
      <c r="A706" s="19">
        <v>702</v>
      </c>
      <c r="B706" s="20" t="s">
        <v>411</v>
      </c>
      <c r="C706" s="20" t="s">
        <v>773</v>
      </c>
      <c r="D706" s="20" t="s">
        <v>786</v>
      </c>
      <c r="E706" s="21" t="s">
        <v>17</v>
      </c>
      <c r="F706" s="20" t="s">
        <v>18</v>
      </c>
      <c r="G706" s="20" t="s">
        <v>19</v>
      </c>
      <c r="H706" s="23">
        <v>45323</v>
      </c>
      <c r="I706" s="19">
        <f>IF(F706="是",VLOOKUP(G706,[150]Sheet2!A:C,3,FALSE),VLOOKUP(G706,[150]Sheet2!A:B,2,FALSE))</f>
        <v>600</v>
      </c>
      <c r="J706" s="24" t="s">
        <v>20</v>
      </c>
      <c r="K706" s="36"/>
    </row>
    <row r="707" ht="31" customHeight="1" spans="1:11">
      <c r="A707" s="19">
        <v>703</v>
      </c>
      <c r="B707" s="20" t="s">
        <v>411</v>
      </c>
      <c r="C707" s="20" t="s">
        <v>773</v>
      </c>
      <c r="D707" s="20" t="s">
        <v>787</v>
      </c>
      <c r="E707" s="21" t="s">
        <v>17</v>
      </c>
      <c r="F707" s="20" t="s">
        <v>18</v>
      </c>
      <c r="G707" s="20" t="s">
        <v>19</v>
      </c>
      <c r="H707" s="23">
        <v>45323</v>
      </c>
      <c r="I707" s="19">
        <f>IF(F707="是",VLOOKUP(G707,[150]Sheet2!A:C,3,FALSE),VLOOKUP(G707,[150]Sheet2!A:B,2,FALSE))</f>
        <v>600</v>
      </c>
      <c r="J707" s="24" t="s">
        <v>20</v>
      </c>
      <c r="K707" s="36"/>
    </row>
    <row r="708" ht="31" customHeight="1" spans="1:11">
      <c r="A708" s="19">
        <v>704</v>
      </c>
      <c r="B708" s="20" t="s">
        <v>411</v>
      </c>
      <c r="C708" s="20" t="s">
        <v>773</v>
      </c>
      <c r="D708" s="20" t="s">
        <v>788</v>
      </c>
      <c r="E708" s="21" t="s">
        <v>17</v>
      </c>
      <c r="F708" s="20" t="s">
        <v>18</v>
      </c>
      <c r="G708" s="20" t="s">
        <v>32</v>
      </c>
      <c r="H708" s="23">
        <v>45323</v>
      </c>
      <c r="I708" s="19">
        <f>IF(F708="是",VLOOKUP(G708,[150]Sheet2!A:C,3,FALSE),VLOOKUP(G708,[150]Sheet2!A:B,2,FALSE))</f>
        <v>800</v>
      </c>
      <c r="J708" s="24" t="s">
        <v>20</v>
      </c>
      <c r="K708" s="36"/>
    </row>
    <row r="709" ht="31" customHeight="1" spans="1:11">
      <c r="A709" s="19">
        <v>705</v>
      </c>
      <c r="B709" s="20" t="s">
        <v>411</v>
      </c>
      <c r="C709" s="20" t="s">
        <v>773</v>
      </c>
      <c r="D709" s="20" t="s">
        <v>789</v>
      </c>
      <c r="E709" s="21" t="s">
        <v>17</v>
      </c>
      <c r="F709" s="20" t="s">
        <v>18</v>
      </c>
      <c r="G709" s="20" t="s">
        <v>19</v>
      </c>
      <c r="H709" s="23">
        <v>45323</v>
      </c>
      <c r="I709" s="19">
        <f>IF(F709="是",VLOOKUP(G709,[150]Sheet2!A:C,3,FALSE),VLOOKUP(G709,[150]Sheet2!A:B,2,FALSE))</f>
        <v>600</v>
      </c>
      <c r="J709" s="24" t="s">
        <v>20</v>
      </c>
      <c r="K709" s="36"/>
    </row>
    <row r="710" ht="31" customHeight="1" spans="1:11">
      <c r="A710" s="19">
        <v>706</v>
      </c>
      <c r="B710" s="20" t="s">
        <v>411</v>
      </c>
      <c r="C710" s="20" t="s">
        <v>773</v>
      </c>
      <c r="D710" s="20" t="s">
        <v>790</v>
      </c>
      <c r="E710" s="21" t="s">
        <v>17</v>
      </c>
      <c r="F710" s="20" t="s">
        <v>18</v>
      </c>
      <c r="G710" s="20" t="s">
        <v>19</v>
      </c>
      <c r="H710" s="23">
        <v>45323</v>
      </c>
      <c r="I710" s="19">
        <f>IF(F710="是",VLOOKUP(G710,[150]Sheet2!A:C,3,FALSE),VLOOKUP(G710,[150]Sheet2!A:B,2,FALSE))</f>
        <v>600</v>
      </c>
      <c r="J710" s="24" t="s">
        <v>20</v>
      </c>
      <c r="K710" s="36"/>
    </row>
    <row r="711" ht="31" customHeight="1" spans="1:11">
      <c r="A711" s="19">
        <v>707</v>
      </c>
      <c r="B711" s="20" t="s">
        <v>411</v>
      </c>
      <c r="C711" s="20" t="s">
        <v>773</v>
      </c>
      <c r="D711" s="20" t="s">
        <v>791</v>
      </c>
      <c r="E711" s="21" t="s">
        <v>17</v>
      </c>
      <c r="F711" s="20" t="s">
        <v>18</v>
      </c>
      <c r="G711" s="20" t="s">
        <v>19</v>
      </c>
      <c r="H711" s="23">
        <v>45323</v>
      </c>
      <c r="I711" s="19">
        <f>IF(F711="是",VLOOKUP(G711,[150]Sheet2!A:C,3,FALSE),VLOOKUP(G711,[150]Sheet2!A:B,2,FALSE))</f>
        <v>600</v>
      </c>
      <c r="J711" s="24" t="s">
        <v>20</v>
      </c>
      <c r="K711" s="36"/>
    </row>
    <row r="712" ht="31" customHeight="1" spans="1:11">
      <c r="A712" s="19">
        <v>708</v>
      </c>
      <c r="B712" s="20" t="s">
        <v>411</v>
      </c>
      <c r="C712" s="20" t="s">
        <v>773</v>
      </c>
      <c r="D712" s="20" t="s">
        <v>792</v>
      </c>
      <c r="E712" s="21" t="s">
        <v>17</v>
      </c>
      <c r="F712" s="20" t="s">
        <v>18</v>
      </c>
      <c r="G712" s="20" t="s">
        <v>19</v>
      </c>
      <c r="H712" s="23">
        <v>45323</v>
      </c>
      <c r="I712" s="19">
        <f>IF(F712="是",VLOOKUP(G712,[150]Sheet2!A:C,3,FALSE),VLOOKUP(G712,[150]Sheet2!A:B,2,FALSE))</f>
        <v>600</v>
      </c>
      <c r="J712" s="24" t="s">
        <v>20</v>
      </c>
      <c r="K712" s="36"/>
    </row>
    <row r="713" ht="31" customHeight="1" spans="1:11">
      <c r="A713" s="19">
        <v>709</v>
      </c>
      <c r="B713" s="20" t="s">
        <v>411</v>
      </c>
      <c r="C713" s="20" t="s">
        <v>773</v>
      </c>
      <c r="D713" s="20" t="s">
        <v>793</v>
      </c>
      <c r="E713" s="21" t="s">
        <v>17</v>
      </c>
      <c r="F713" s="20" t="s">
        <v>18</v>
      </c>
      <c r="G713" s="20" t="s">
        <v>19</v>
      </c>
      <c r="H713" s="23">
        <v>45413</v>
      </c>
      <c r="I713" s="19">
        <f>IF(F713="是",VLOOKUP(G713,[150]Sheet2!A:C,3,FALSE),VLOOKUP(G713,[150]Sheet2!A:B,2,FALSE))</f>
        <v>600</v>
      </c>
      <c r="J713" s="24" t="s">
        <v>20</v>
      </c>
      <c r="K713" s="36"/>
    </row>
    <row r="714" s="7" customFormat="1" ht="31" customHeight="1" spans="1:39">
      <c r="A714" s="19">
        <v>710</v>
      </c>
      <c r="B714" s="20" t="s">
        <v>411</v>
      </c>
      <c r="C714" s="20" t="s">
        <v>773</v>
      </c>
      <c r="D714" s="20" t="s">
        <v>794</v>
      </c>
      <c r="E714" s="21" t="s">
        <v>17</v>
      </c>
      <c r="F714" s="20" t="s">
        <v>18</v>
      </c>
      <c r="G714" s="20" t="s">
        <v>19</v>
      </c>
      <c r="H714" s="23">
        <v>45292</v>
      </c>
      <c r="I714" s="19">
        <f>IF(F714="是",VLOOKUP(G714,[150]Sheet2!A:C,3,FALSE),VLOOKUP(G714,[150]Sheet2!A:B,2,FALSE))</f>
        <v>600</v>
      </c>
      <c r="J714" s="24" t="s">
        <v>20</v>
      </c>
      <c r="K714" s="42"/>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row>
    <row r="715" ht="31" customHeight="1" spans="1:11">
      <c r="A715" s="19">
        <v>711</v>
      </c>
      <c r="B715" s="20" t="s">
        <v>411</v>
      </c>
      <c r="C715" s="20" t="s">
        <v>773</v>
      </c>
      <c r="D715" s="20" t="s">
        <v>795</v>
      </c>
      <c r="E715" s="21" t="s">
        <v>17</v>
      </c>
      <c r="F715" s="20" t="s">
        <v>18</v>
      </c>
      <c r="G715" s="20" t="s">
        <v>98</v>
      </c>
      <c r="H715" s="23">
        <v>45292</v>
      </c>
      <c r="I715" s="19">
        <f>IF(F715="是",VLOOKUP(G715,[150]Sheet2!A:C,3,FALSE),VLOOKUP(G715,[150]Sheet2!A:B,2,FALSE))</f>
        <v>800</v>
      </c>
      <c r="J715" s="24" t="s">
        <v>20</v>
      </c>
      <c r="K715" s="36"/>
    </row>
    <row r="716" ht="31" customHeight="1" spans="1:11">
      <c r="A716" s="19">
        <v>712</v>
      </c>
      <c r="B716" s="20" t="s">
        <v>411</v>
      </c>
      <c r="C716" s="20" t="s">
        <v>773</v>
      </c>
      <c r="D716" s="20" t="s">
        <v>796</v>
      </c>
      <c r="E716" s="21" t="s">
        <v>17</v>
      </c>
      <c r="F716" s="20" t="s">
        <v>18</v>
      </c>
      <c r="G716" s="20" t="s">
        <v>98</v>
      </c>
      <c r="H716" s="23">
        <v>45292</v>
      </c>
      <c r="I716" s="19">
        <f>IF(F716="是",VLOOKUP(G716,[150]Sheet2!A:C,3,FALSE),VLOOKUP(G716,[150]Sheet2!A:B,2,FALSE))</f>
        <v>800</v>
      </c>
      <c r="J716" s="24" t="s">
        <v>20</v>
      </c>
      <c r="K716" s="36"/>
    </row>
    <row r="717" ht="31" customHeight="1" spans="1:11">
      <c r="A717" s="19">
        <v>713</v>
      </c>
      <c r="B717" s="20" t="s">
        <v>411</v>
      </c>
      <c r="C717" s="20" t="s">
        <v>773</v>
      </c>
      <c r="D717" s="20" t="s">
        <v>797</v>
      </c>
      <c r="E717" s="21" t="s">
        <v>17</v>
      </c>
      <c r="F717" s="20" t="s">
        <v>18</v>
      </c>
      <c r="G717" s="20" t="s">
        <v>38</v>
      </c>
      <c r="H717" s="23">
        <v>45323</v>
      </c>
      <c r="I717" s="19">
        <f>IF(F717="是",VLOOKUP(G717,[150]Sheet2!A:C,3,FALSE),VLOOKUP(G717,[150]Sheet2!A:B,2,FALSE))</f>
        <v>600</v>
      </c>
      <c r="J717" s="24" t="s">
        <v>20</v>
      </c>
      <c r="K717" s="36"/>
    </row>
    <row r="718" ht="31" customHeight="1" spans="1:11">
      <c r="A718" s="19">
        <v>714</v>
      </c>
      <c r="B718" s="20" t="s">
        <v>411</v>
      </c>
      <c r="C718" s="20" t="s">
        <v>773</v>
      </c>
      <c r="D718" s="20" t="s">
        <v>798</v>
      </c>
      <c r="E718" s="21" t="s">
        <v>17</v>
      </c>
      <c r="F718" s="20" t="s">
        <v>18</v>
      </c>
      <c r="G718" s="20" t="s">
        <v>19</v>
      </c>
      <c r="H718" s="23">
        <v>45323</v>
      </c>
      <c r="I718" s="19">
        <f>IF(F718="是",VLOOKUP(G718,[150]Sheet2!A:C,3,FALSE),VLOOKUP(G718,[150]Sheet2!A:B,2,FALSE))</f>
        <v>600</v>
      </c>
      <c r="J718" s="24" t="s">
        <v>20</v>
      </c>
      <c r="K718" s="36"/>
    </row>
    <row r="719" ht="31" customHeight="1" spans="1:11">
      <c r="A719" s="19">
        <v>715</v>
      </c>
      <c r="B719" s="20" t="s">
        <v>411</v>
      </c>
      <c r="C719" s="20" t="s">
        <v>773</v>
      </c>
      <c r="D719" s="20" t="s">
        <v>799</v>
      </c>
      <c r="E719" s="21" t="s">
        <v>17</v>
      </c>
      <c r="F719" s="20" t="s">
        <v>18</v>
      </c>
      <c r="G719" s="20" t="s">
        <v>800</v>
      </c>
      <c r="H719" s="23">
        <v>45323</v>
      </c>
      <c r="I719" s="19">
        <f>IF(F719="是",VLOOKUP(G719,[150]Sheet2!A:C,3,FALSE),VLOOKUP(G719,[150]Sheet2!A:B,2,FALSE))</f>
        <v>800</v>
      </c>
      <c r="J719" s="24" t="s">
        <v>20</v>
      </c>
      <c r="K719" s="36"/>
    </row>
    <row r="720" ht="31" customHeight="1" spans="1:11">
      <c r="A720" s="19">
        <v>716</v>
      </c>
      <c r="B720" s="19" t="s">
        <v>801</v>
      </c>
      <c r="C720" s="19" t="s">
        <v>802</v>
      </c>
      <c r="D720" s="19" t="s">
        <v>803</v>
      </c>
      <c r="E720" s="31" t="s">
        <v>17</v>
      </c>
      <c r="F720" s="19" t="s">
        <v>18</v>
      </c>
      <c r="G720" s="19" t="s">
        <v>19</v>
      </c>
      <c r="H720" s="37">
        <v>45413</v>
      </c>
      <c r="I720" s="19">
        <v>600</v>
      </c>
      <c r="J720" s="24" t="s">
        <v>20</v>
      </c>
      <c r="K720" s="36"/>
    </row>
    <row r="721" ht="31" customHeight="1" spans="1:11">
      <c r="A721" s="19">
        <v>717</v>
      </c>
      <c r="B721" s="19" t="s">
        <v>801</v>
      </c>
      <c r="C721" s="19" t="s">
        <v>804</v>
      </c>
      <c r="D721" s="19" t="s">
        <v>805</v>
      </c>
      <c r="E721" s="31" t="s">
        <v>17</v>
      </c>
      <c r="F721" s="19" t="s">
        <v>18</v>
      </c>
      <c r="G721" s="19" t="s">
        <v>19</v>
      </c>
      <c r="H721" s="37">
        <v>45323</v>
      </c>
      <c r="I721" s="19">
        <v>600</v>
      </c>
      <c r="J721" s="24" t="s">
        <v>20</v>
      </c>
      <c r="K721" s="36"/>
    </row>
    <row r="722" ht="31" customHeight="1" spans="1:11">
      <c r="A722" s="19">
        <v>718</v>
      </c>
      <c r="B722" s="19" t="s">
        <v>801</v>
      </c>
      <c r="C722" s="19" t="s">
        <v>804</v>
      </c>
      <c r="D722" s="19" t="s">
        <v>806</v>
      </c>
      <c r="E722" s="31" t="s">
        <v>17</v>
      </c>
      <c r="F722" s="19" t="s">
        <v>18</v>
      </c>
      <c r="G722" s="19" t="s">
        <v>19</v>
      </c>
      <c r="H722" s="37">
        <v>45323</v>
      </c>
      <c r="I722" s="19">
        <v>600</v>
      </c>
      <c r="J722" s="24" t="s">
        <v>20</v>
      </c>
      <c r="K722" s="36"/>
    </row>
    <row r="723" ht="31" customHeight="1" spans="1:11">
      <c r="A723" s="19">
        <v>719</v>
      </c>
      <c r="B723" s="19" t="s">
        <v>801</v>
      </c>
      <c r="C723" s="19" t="s">
        <v>804</v>
      </c>
      <c r="D723" s="19" t="s">
        <v>807</v>
      </c>
      <c r="E723" s="31" t="s">
        <v>17</v>
      </c>
      <c r="F723" s="19" t="s">
        <v>18</v>
      </c>
      <c r="G723" s="19" t="s">
        <v>19</v>
      </c>
      <c r="H723" s="37">
        <v>45323</v>
      </c>
      <c r="I723" s="19">
        <v>600</v>
      </c>
      <c r="J723" s="24" t="s">
        <v>20</v>
      </c>
      <c r="K723" s="36"/>
    </row>
    <row r="724" ht="31" customHeight="1" spans="1:11">
      <c r="A724" s="19">
        <v>720</v>
      </c>
      <c r="B724" s="20" t="s">
        <v>801</v>
      </c>
      <c r="C724" s="20" t="s">
        <v>804</v>
      </c>
      <c r="D724" s="20" t="s">
        <v>808</v>
      </c>
      <c r="E724" s="38" t="s">
        <v>17</v>
      </c>
      <c r="F724" s="20" t="s">
        <v>18</v>
      </c>
      <c r="G724" s="20" t="s">
        <v>19</v>
      </c>
      <c r="H724" s="23">
        <v>45324</v>
      </c>
      <c r="I724" s="19">
        <v>600</v>
      </c>
      <c r="J724" s="24" t="s">
        <v>20</v>
      </c>
      <c r="K724" s="36"/>
    </row>
    <row r="725" ht="31" customHeight="1" spans="1:11">
      <c r="A725" s="19">
        <v>721</v>
      </c>
      <c r="B725" s="19" t="s">
        <v>801</v>
      </c>
      <c r="C725" s="19" t="s">
        <v>804</v>
      </c>
      <c r="D725" s="19" t="s">
        <v>809</v>
      </c>
      <c r="E725" s="39" t="s">
        <v>17</v>
      </c>
      <c r="F725" s="20" t="s">
        <v>18</v>
      </c>
      <c r="G725" s="20" t="s">
        <v>19</v>
      </c>
      <c r="H725" s="37">
        <v>45413</v>
      </c>
      <c r="I725" s="19">
        <v>600</v>
      </c>
      <c r="J725" s="24" t="s">
        <v>20</v>
      </c>
      <c r="K725" s="36"/>
    </row>
    <row r="726" ht="31" customHeight="1" spans="1:11">
      <c r="A726" s="19">
        <v>722</v>
      </c>
      <c r="B726" s="19" t="s">
        <v>801</v>
      </c>
      <c r="C726" s="19" t="s">
        <v>804</v>
      </c>
      <c r="D726" s="19" t="s">
        <v>810</v>
      </c>
      <c r="E726" s="39" t="s">
        <v>17</v>
      </c>
      <c r="F726" s="20" t="s">
        <v>18</v>
      </c>
      <c r="G726" s="20" t="s">
        <v>19</v>
      </c>
      <c r="H726" s="37">
        <v>45323</v>
      </c>
      <c r="I726" s="19">
        <v>600</v>
      </c>
      <c r="J726" s="24" t="s">
        <v>20</v>
      </c>
      <c r="K726" s="36"/>
    </row>
    <row r="727" ht="31" customHeight="1" spans="1:11">
      <c r="A727" s="19">
        <v>723</v>
      </c>
      <c r="B727" s="20" t="s">
        <v>801</v>
      </c>
      <c r="C727" s="20" t="s">
        <v>811</v>
      </c>
      <c r="D727" s="20" t="s">
        <v>812</v>
      </c>
      <c r="E727" s="21" t="s">
        <v>17</v>
      </c>
      <c r="F727" s="20" t="s">
        <v>18</v>
      </c>
      <c r="G727" s="20" t="s">
        <v>19</v>
      </c>
      <c r="H727" s="23">
        <v>45323</v>
      </c>
      <c r="I727" s="19">
        <v>600</v>
      </c>
      <c r="J727" s="24" t="s">
        <v>20</v>
      </c>
      <c r="K727" s="36"/>
    </row>
    <row r="728" ht="31" customHeight="1" spans="1:11">
      <c r="A728" s="19">
        <v>724</v>
      </c>
      <c r="B728" s="20" t="s">
        <v>801</v>
      </c>
      <c r="C728" s="20" t="s">
        <v>811</v>
      </c>
      <c r="D728" s="20" t="s">
        <v>813</v>
      </c>
      <c r="E728" s="21" t="s">
        <v>17</v>
      </c>
      <c r="F728" s="20" t="s">
        <v>18</v>
      </c>
      <c r="G728" s="20" t="s">
        <v>98</v>
      </c>
      <c r="H728" s="23">
        <v>45383</v>
      </c>
      <c r="I728" s="19">
        <v>800</v>
      </c>
      <c r="J728" s="24" t="s">
        <v>20</v>
      </c>
      <c r="K728" s="36"/>
    </row>
    <row r="729" ht="31" customHeight="1" spans="1:11">
      <c r="A729" s="19">
        <v>725</v>
      </c>
      <c r="B729" s="20" t="s">
        <v>801</v>
      </c>
      <c r="C729" s="20" t="s">
        <v>811</v>
      </c>
      <c r="D729" s="20" t="s">
        <v>814</v>
      </c>
      <c r="E729" s="21" t="s">
        <v>17</v>
      </c>
      <c r="F729" s="20" t="s">
        <v>18</v>
      </c>
      <c r="G729" s="20" t="s">
        <v>32</v>
      </c>
      <c r="H729" s="23">
        <v>45444</v>
      </c>
      <c r="I729" s="19">
        <v>800</v>
      </c>
      <c r="J729" s="24" t="s">
        <v>20</v>
      </c>
      <c r="K729" s="36"/>
    </row>
    <row r="730" ht="31" customHeight="1" spans="1:11">
      <c r="A730" s="19">
        <v>726</v>
      </c>
      <c r="B730" s="20" t="s">
        <v>801</v>
      </c>
      <c r="C730" s="20" t="s">
        <v>811</v>
      </c>
      <c r="D730" s="20" t="s">
        <v>815</v>
      </c>
      <c r="E730" s="21" t="s">
        <v>17</v>
      </c>
      <c r="F730" s="20" t="s">
        <v>18</v>
      </c>
      <c r="G730" s="20" t="s">
        <v>19</v>
      </c>
      <c r="H730" s="23">
        <v>45292</v>
      </c>
      <c r="I730" s="19">
        <v>600</v>
      </c>
      <c r="J730" s="24" t="s">
        <v>20</v>
      </c>
      <c r="K730" s="36"/>
    </row>
    <row r="731" ht="31" customHeight="1" spans="1:11">
      <c r="A731" s="19">
        <v>727</v>
      </c>
      <c r="B731" s="19" t="s">
        <v>801</v>
      </c>
      <c r="C731" s="40" t="s">
        <v>816</v>
      </c>
      <c r="D731" s="40" t="s">
        <v>817</v>
      </c>
      <c r="E731" s="39" t="s">
        <v>17</v>
      </c>
      <c r="F731" s="19" t="s">
        <v>18</v>
      </c>
      <c r="G731" s="19" t="s">
        <v>19</v>
      </c>
      <c r="H731" s="37">
        <v>45323</v>
      </c>
      <c r="I731" s="19">
        <v>600</v>
      </c>
      <c r="J731" s="24" t="s">
        <v>20</v>
      </c>
      <c r="K731" s="36"/>
    </row>
    <row r="732" ht="31" customHeight="1" spans="1:11">
      <c r="A732" s="19">
        <v>728</v>
      </c>
      <c r="B732" s="19" t="s">
        <v>801</v>
      </c>
      <c r="C732" s="40" t="s">
        <v>816</v>
      </c>
      <c r="D732" s="19" t="s">
        <v>818</v>
      </c>
      <c r="E732" s="39" t="s">
        <v>17</v>
      </c>
      <c r="F732" s="19" t="s">
        <v>18</v>
      </c>
      <c r="G732" s="19" t="s">
        <v>19</v>
      </c>
      <c r="H732" s="37">
        <v>45324</v>
      </c>
      <c r="I732" s="19">
        <v>600</v>
      </c>
      <c r="J732" s="24" t="s">
        <v>20</v>
      </c>
      <c r="K732" s="36"/>
    </row>
    <row r="733" ht="31" customHeight="1" spans="1:11">
      <c r="A733" s="19">
        <v>729</v>
      </c>
      <c r="B733" s="19" t="s">
        <v>801</v>
      </c>
      <c r="C733" s="40" t="s">
        <v>816</v>
      </c>
      <c r="D733" s="19" t="s">
        <v>819</v>
      </c>
      <c r="E733" s="39" t="s">
        <v>17</v>
      </c>
      <c r="F733" s="19" t="s">
        <v>18</v>
      </c>
      <c r="G733" s="19" t="s">
        <v>19</v>
      </c>
      <c r="H733" s="37">
        <v>45324</v>
      </c>
      <c r="I733" s="19">
        <v>600</v>
      </c>
      <c r="J733" s="24" t="s">
        <v>20</v>
      </c>
      <c r="K733" s="36"/>
    </row>
    <row r="734" ht="31" customHeight="1" spans="1:11">
      <c r="A734" s="19">
        <v>730</v>
      </c>
      <c r="B734" s="19" t="s">
        <v>801</v>
      </c>
      <c r="C734" s="40" t="s">
        <v>816</v>
      </c>
      <c r="D734" s="19" t="s">
        <v>820</v>
      </c>
      <c r="E734" s="39" t="s">
        <v>17</v>
      </c>
      <c r="F734" s="19" t="s">
        <v>18</v>
      </c>
      <c r="G734" s="19" t="s">
        <v>19</v>
      </c>
      <c r="H734" s="37">
        <v>45324</v>
      </c>
      <c r="I734" s="19">
        <v>600</v>
      </c>
      <c r="J734" s="24" t="s">
        <v>20</v>
      </c>
      <c r="K734" s="36"/>
    </row>
    <row r="735" ht="31" customHeight="1" spans="1:11">
      <c r="A735" s="19">
        <v>731</v>
      </c>
      <c r="B735" s="19" t="s">
        <v>801</v>
      </c>
      <c r="C735" s="40" t="s">
        <v>816</v>
      </c>
      <c r="D735" s="19" t="s">
        <v>821</v>
      </c>
      <c r="E735" s="39" t="s">
        <v>17</v>
      </c>
      <c r="F735" s="19" t="s">
        <v>18</v>
      </c>
      <c r="G735" s="19" t="s">
        <v>800</v>
      </c>
      <c r="H735" s="37">
        <v>45324</v>
      </c>
      <c r="I735" s="19">
        <v>800</v>
      </c>
      <c r="J735" s="24" t="s">
        <v>20</v>
      </c>
      <c r="K735" s="36"/>
    </row>
    <row r="736" ht="31" customHeight="1" spans="1:11">
      <c r="A736" s="19">
        <v>732</v>
      </c>
      <c r="B736" s="20" t="s">
        <v>801</v>
      </c>
      <c r="C736" s="41" t="s">
        <v>816</v>
      </c>
      <c r="D736" s="20" t="s">
        <v>822</v>
      </c>
      <c r="E736" s="38" t="s">
        <v>17</v>
      </c>
      <c r="F736" s="20" t="s">
        <v>18</v>
      </c>
      <c r="G736" s="20" t="s">
        <v>19</v>
      </c>
      <c r="H736" s="23">
        <v>45292</v>
      </c>
      <c r="I736" s="19">
        <v>600</v>
      </c>
      <c r="J736" s="24" t="s">
        <v>20</v>
      </c>
      <c r="K736" s="36"/>
    </row>
    <row r="737" ht="31" customHeight="1" spans="1:11">
      <c r="A737" s="19">
        <v>733</v>
      </c>
      <c r="B737" s="19" t="s">
        <v>801</v>
      </c>
      <c r="C737" s="40" t="s">
        <v>816</v>
      </c>
      <c r="D737" s="19" t="s">
        <v>823</v>
      </c>
      <c r="E737" s="39" t="s">
        <v>17</v>
      </c>
      <c r="F737" s="20" t="s">
        <v>18</v>
      </c>
      <c r="G737" s="20" t="s">
        <v>19</v>
      </c>
      <c r="H737" s="37">
        <v>45474</v>
      </c>
      <c r="I737" s="19">
        <v>600</v>
      </c>
      <c r="J737" s="24" t="s">
        <v>20</v>
      </c>
      <c r="K737" s="36"/>
    </row>
    <row r="738" ht="31" customHeight="1" spans="1:11">
      <c r="A738" s="19">
        <v>734</v>
      </c>
      <c r="B738" s="19" t="s">
        <v>801</v>
      </c>
      <c r="C738" s="40" t="s">
        <v>816</v>
      </c>
      <c r="D738" s="19" t="s">
        <v>824</v>
      </c>
      <c r="E738" s="39" t="s">
        <v>17</v>
      </c>
      <c r="F738" s="20" t="s">
        <v>18</v>
      </c>
      <c r="G738" s="20" t="s">
        <v>32</v>
      </c>
      <c r="H738" s="37">
        <v>45352</v>
      </c>
      <c r="I738" s="19">
        <v>800</v>
      </c>
      <c r="J738" s="24" t="s">
        <v>20</v>
      </c>
      <c r="K738" s="36"/>
    </row>
    <row r="739" ht="31" customHeight="1" spans="1:11">
      <c r="A739" s="19">
        <v>735</v>
      </c>
      <c r="B739" s="19" t="s">
        <v>801</v>
      </c>
      <c r="C739" s="19" t="s">
        <v>816</v>
      </c>
      <c r="D739" s="19" t="s">
        <v>825</v>
      </c>
      <c r="E739" s="39" t="s">
        <v>17</v>
      </c>
      <c r="F739" s="20" t="s">
        <v>18</v>
      </c>
      <c r="G739" s="20" t="s">
        <v>19</v>
      </c>
      <c r="H739" s="37">
        <v>45444</v>
      </c>
      <c r="I739" s="19">
        <v>600</v>
      </c>
      <c r="J739" s="24" t="s">
        <v>20</v>
      </c>
      <c r="K739" s="36"/>
    </row>
    <row r="740" ht="31" customHeight="1" spans="1:11">
      <c r="A740" s="19">
        <v>736</v>
      </c>
      <c r="B740" s="19" t="s">
        <v>801</v>
      </c>
      <c r="C740" s="19" t="s">
        <v>826</v>
      </c>
      <c r="D740" s="19" t="s">
        <v>827</v>
      </c>
      <c r="E740" s="39" t="s">
        <v>17</v>
      </c>
      <c r="F740" s="20" t="s">
        <v>18</v>
      </c>
      <c r="G740" s="20" t="s">
        <v>38</v>
      </c>
      <c r="H740" s="37">
        <v>45324</v>
      </c>
      <c r="I740" s="19">
        <v>600</v>
      </c>
      <c r="J740" s="24" t="s">
        <v>20</v>
      </c>
      <c r="K740" s="36"/>
    </row>
    <row r="741" ht="31" customHeight="1" spans="1:11">
      <c r="A741" s="19">
        <v>737</v>
      </c>
      <c r="B741" s="19" t="s">
        <v>801</v>
      </c>
      <c r="C741" s="19" t="s">
        <v>826</v>
      </c>
      <c r="D741" s="19" t="s">
        <v>828</v>
      </c>
      <c r="E741" s="39" t="s">
        <v>17</v>
      </c>
      <c r="F741" s="20" t="s">
        <v>18</v>
      </c>
      <c r="G741" s="20" t="s">
        <v>38</v>
      </c>
      <c r="H741" s="37">
        <v>45444</v>
      </c>
      <c r="I741" s="19">
        <v>600</v>
      </c>
      <c r="J741" s="24" t="s">
        <v>20</v>
      </c>
      <c r="K741" s="36"/>
    </row>
    <row r="742" ht="31" customHeight="1" spans="1:11">
      <c r="A742" s="19">
        <v>738</v>
      </c>
      <c r="B742" s="19" t="s">
        <v>801</v>
      </c>
      <c r="C742" s="19" t="s">
        <v>826</v>
      </c>
      <c r="D742" s="19" t="s">
        <v>829</v>
      </c>
      <c r="E742" s="39" t="s">
        <v>17</v>
      </c>
      <c r="F742" s="20" t="s">
        <v>18</v>
      </c>
      <c r="G742" s="20" t="s">
        <v>19</v>
      </c>
      <c r="H742" s="37">
        <v>45324</v>
      </c>
      <c r="I742" s="19">
        <v>600</v>
      </c>
      <c r="J742" s="24" t="s">
        <v>20</v>
      </c>
      <c r="K742" s="36"/>
    </row>
    <row r="743" ht="31" customHeight="1" spans="1:11">
      <c r="A743" s="19">
        <v>739</v>
      </c>
      <c r="B743" s="19" t="s">
        <v>801</v>
      </c>
      <c r="C743" s="19" t="s">
        <v>826</v>
      </c>
      <c r="D743" s="19" t="s">
        <v>830</v>
      </c>
      <c r="E743" s="39" t="s">
        <v>17</v>
      </c>
      <c r="F743" s="20" t="s">
        <v>18</v>
      </c>
      <c r="G743" s="20" t="s">
        <v>19</v>
      </c>
      <c r="H743" s="37">
        <v>45292</v>
      </c>
      <c r="I743" s="19">
        <v>600</v>
      </c>
      <c r="J743" s="24" t="s">
        <v>20</v>
      </c>
      <c r="K743" s="36"/>
    </row>
    <row r="744" ht="31" customHeight="1" spans="1:11">
      <c r="A744" s="19">
        <v>740</v>
      </c>
      <c r="B744" s="19" t="s">
        <v>801</v>
      </c>
      <c r="C744" s="19" t="s">
        <v>826</v>
      </c>
      <c r="D744" s="19" t="s">
        <v>831</v>
      </c>
      <c r="E744" s="39" t="s">
        <v>17</v>
      </c>
      <c r="F744" s="20" t="s">
        <v>18</v>
      </c>
      <c r="G744" s="20" t="s">
        <v>19</v>
      </c>
      <c r="H744" s="37">
        <v>45292</v>
      </c>
      <c r="I744" s="19">
        <v>600</v>
      </c>
      <c r="J744" s="24" t="s">
        <v>20</v>
      </c>
      <c r="K744" s="36"/>
    </row>
    <row r="745" ht="31" customHeight="1" spans="1:11">
      <c r="A745" s="19">
        <v>741</v>
      </c>
      <c r="B745" s="19" t="s">
        <v>801</v>
      </c>
      <c r="C745" s="19" t="s">
        <v>826</v>
      </c>
      <c r="D745" s="19" t="s">
        <v>832</v>
      </c>
      <c r="E745" s="39" t="s">
        <v>17</v>
      </c>
      <c r="F745" s="20" t="s">
        <v>18</v>
      </c>
      <c r="G745" s="20" t="s">
        <v>19</v>
      </c>
      <c r="H745" s="37">
        <v>45352</v>
      </c>
      <c r="I745" s="19">
        <v>600</v>
      </c>
      <c r="J745" s="24" t="s">
        <v>20</v>
      </c>
      <c r="K745" s="36"/>
    </row>
    <row r="746" ht="31" customHeight="1" spans="1:11">
      <c r="A746" s="19">
        <v>742</v>
      </c>
      <c r="B746" s="19" t="s">
        <v>801</v>
      </c>
      <c r="C746" s="19" t="s">
        <v>826</v>
      </c>
      <c r="D746" s="19" t="s">
        <v>833</v>
      </c>
      <c r="E746" s="39" t="s">
        <v>17</v>
      </c>
      <c r="F746" s="20" t="s">
        <v>18</v>
      </c>
      <c r="G746" s="20" t="s">
        <v>19</v>
      </c>
      <c r="H746" s="37">
        <v>45324</v>
      </c>
      <c r="I746" s="19">
        <v>600</v>
      </c>
      <c r="J746" s="24" t="s">
        <v>20</v>
      </c>
      <c r="K746" s="36"/>
    </row>
    <row r="747" ht="31" customHeight="1" spans="1:11">
      <c r="A747" s="19">
        <v>743</v>
      </c>
      <c r="B747" s="19" t="s">
        <v>801</v>
      </c>
      <c r="C747" s="19" t="s">
        <v>826</v>
      </c>
      <c r="D747" s="19" t="s">
        <v>834</v>
      </c>
      <c r="E747" s="39" t="s">
        <v>17</v>
      </c>
      <c r="F747" s="20" t="s">
        <v>18</v>
      </c>
      <c r="G747" s="20" t="s">
        <v>19</v>
      </c>
      <c r="H747" s="37">
        <v>45324</v>
      </c>
      <c r="I747" s="19">
        <v>600</v>
      </c>
      <c r="J747" s="24" t="s">
        <v>20</v>
      </c>
      <c r="K747" s="36"/>
    </row>
    <row r="748" ht="31" customHeight="1" spans="1:11">
      <c r="A748" s="19">
        <v>744</v>
      </c>
      <c r="B748" s="19" t="s">
        <v>801</v>
      </c>
      <c r="C748" s="19" t="s">
        <v>826</v>
      </c>
      <c r="D748" s="19" t="s">
        <v>835</v>
      </c>
      <c r="E748" s="39" t="s">
        <v>17</v>
      </c>
      <c r="F748" s="20" t="s">
        <v>18</v>
      </c>
      <c r="G748" s="20" t="s">
        <v>78</v>
      </c>
      <c r="H748" s="37">
        <v>45324</v>
      </c>
      <c r="I748" s="19">
        <v>800</v>
      </c>
      <c r="J748" s="24" t="s">
        <v>20</v>
      </c>
      <c r="K748" s="36"/>
    </row>
    <row r="749" ht="31" customHeight="1" spans="1:11">
      <c r="A749" s="19">
        <v>745</v>
      </c>
      <c r="B749" s="19" t="s">
        <v>801</v>
      </c>
      <c r="C749" s="19" t="s">
        <v>826</v>
      </c>
      <c r="D749" s="19" t="s">
        <v>836</v>
      </c>
      <c r="E749" s="39" t="s">
        <v>17</v>
      </c>
      <c r="F749" s="20" t="s">
        <v>18</v>
      </c>
      <c r="G749" s="20" t="s">
        <v>19</v>
      </c>
      <c r="H749" s="37">
        <v>45324</v>
      </c>
      <c r="I749" s="19">
        <v>600</v>
      </c>
      <c r="J749" s="24" t="s">
        <v>20</v>
      </c>
      <c r="K749" s="36"/>
    </row>
    <row r="750" ht="31" customHeight="1" spans="1:11">
      <c r="A750" s="19">
        <v>746</v>
      </c>
      <c r="B750" s="19" t="s">
        <v>801</v>
      </c>
      <c r="C750" s="19" t="s">
        <v>826</v>
      </c>
      <c r="D750" s="19" t="s">
        <v>755</v>
      </c>
      <c r="E750" s="39" t="s">
        <v>17</v>
      </c>
      <c r="F750" s="20" t="s">
        <v>18</v>
      </c>
      <c r="G750" s="20" t="s">
        <v>19</v>
      </c>
      <c r="H750" s="37">
        <v>45324</v>
      </c>
      <c r="I750" s="19">
        <v>600</v>
      </c>
      <c r="J750" s="24" t="s">
        <v>20</v>
      </c>
      <c r="K750" s="36"/>
    </row>
    <row r="751" ht="31" customHeight="1" spans="1:11">
      <c r="A751" s="19">
        <v>747</v>
      </c>
      <c r="B751" s="19" t="s">
        <v>801</v>
      </c>
      <c r="C751" s="19" t="s">
        <v>826</v>
      </c>
      <c r="D751" s="19" t="s">
        <v>837</v>
      </c>
      <c r="E751" s="39" t="s">
        <v>17</v>
      </c>
      <c r="F751" s="20" t="s">
        <v>18</v>
      </c>
      <c r="G751" s="20" t="s">
        <v>19</v>
      </c>
      <c r="H751" s="37">
        <v>45324</v>
      </c>
      <c r="I751" s="19">
        <v>600</v>
      </c>
      <c r="J751" s="24" t="s">
        <v>20</v>
      </c>
      <c r="K751" s="36"/>
    </row>
    <row r="752" ht="31" customHeight="1" spans="1:11">
      <c r="A752" s="19">
        <v>748</v>
      </c>
      <c r="B752" s="19" t="s">
        <v>801</v>
      </c>
      <c r="C752" s="19" t="s">
        <v>826</v>
      </c>
      <c r="D752" s="19" t="s">
        <v>838</v>
      </c>
      <c r="E752" s="39" t="s">
        <v>17</v>
      </c>
      <c r="F752" s="20" t="s">
        <v>18</v>
      </c>
      <c r="G752" s="20" t="s">
        <v>19</v>
      </c>
      <c r="H752" s="37">
        <v>45353</v>
      </c>
      <c r="I752" s="19">
        <v>600</v>
      </c>
      <c r="J752" s="24" t="s">
        <v>20</v>
      </c>
      <c r="K752" s="36"/>
    </row>
    <row r="753" ht="31" customHeight="1" spans="1:11">
      <c r="A753" s="19">
        <v>749</v>
      </c>
      <c r="B753" s="19" t="s">
        <v>801</v>
      </c>
      <c r="C753" s="19" t="s">
        <v>826</v>
      </c>
      <c r="D753" s="19" t="s">
        <v>839</v>
      </c>
      <c r="E753" s="39" t="s">
        <v>17</v>
      </c>
      <c r="F753" s="20" t="s">
        <v>18</v>
      </c>
      <c r="G753" s="20" t="s">
        <v>19</v>
      </c>
      <c r="H753" s="37">
        <v>45324</v>
      </c>
      <c r="I753" s="19">
        <v>600</v>
      </c>
      <c r="J753" s="24" t="s">
        <v>20</v>
      </c>
      <c r="K753" s="36"/>
    </row>
    <row r="754" ht="31" customHeight="1" spans="1:11">
      <c r="A754" s="19">
        <v>750</v>
      </c>
      <c r="B754" s="19" t="s">
        <v>801</v>
      </c>
      <c r="C754" s="19" t="s">
        <v>826</v>
      </c>
      <c r="D754" s="19" t="s">
        <v>840</v>
      </c>
      <c r="E754" s="39" t="s">
        <v>17</v>
      </c>
      <c r="F754" s="20" t="s">
        <v>18</v>
      </c>
      <c r="G754" s="20" t="s">
        <v>19</v>
      </c>
      <c r="H754" s="37">
        <v>45324</v>
      </c>
      <c r="I754" s="19">
        <v>600</v>
      </c>
      <c r="J754" s="24" t="s">
        <v>20</v>
      </c>
      <c r="K754" s="36"/>
    </row>
    <row r="755" ht="31" customHeight="1" spans="1:11">
      <c r="A755" s="19">
        <v>751</v>
      </c>
      <c r="B755" s="19" t="s">
        <v>801</v>
      </c>
      <c r="C755" s="19" t="s">
        <v>826</v>
      </c>
      <c r="D755" s="19" t="s">
        <v>841</v>
      </c>
      <c r="E755" s="39" t="s">
        <v>17</v>
      </c>
      <c r="F755" s="20" t="s">
        <v>18</v>
      </c>
      <c r="G755" s="20" t="s">
        <v>69</v>
      </c>
      <c r="H755" s="37">
        <v>45324</v>
      </c>
      <c r="I755" s="19">
        <v>800</v>
      </c>
      <c r="J755" s="24" t="s">
        <v>20</v>
      </c>
      <c r="K755" s="36"/>
    </row>
    <row r="756" ht="31" customHeight="1" spans="1:11">
      <c r="A756" s="19">
        <v>752</v>
      </c>
      <c r="B756" s="19" t="s">
        <v>801</v>
      </c>
      <c r="C756" s="19" t="s">
        <v>826</v>
      </c>
      <c r="D756" s="19" t="s">
        <v>842</v>
      </c>
      <c r="E756" s="39" t="s">
        <v>17</v>
      </c>
      <c r="F756" s="20" t="s">
        <v>18</v>
      </c>
      <c r="G756" s="20" t="s">
        <v>19</v>
      </c>
      <c r="H756" s="37">
        <v>45292</v>
      </c>
      <c r="I756" s="19">
        <v>600</v>
      </c>
      <c r="J756" s="24" t="s">
        <v>20</v>
      </c>
      <c r="K756" s="36"/>
    </row>
    <row r="757" ht="31" customHeight="1" spans="1:11">
      <c r="A757" s="19">
        <v>753</v>
      </c>
      <c r="B757" s="19" t="s">
        <v>801</v>
      </c>
      <c r="C757" s="19" t="s">
        <v>826</v>
      </c>
      <c r="D757" s="19" t="s">
        <v>843</v>
      </c>
      <c r="E757" s="39" t="s">
        <v>17</v>
      </c>
      <c r="F757" s="20" t="s">
        <v>18</v>
      </c>
      <c r="G757" s="20" t="s">
        <v>19</v>
      </c>
      <c r="H757" s="37">
        <v>45292</v>
      </c>
      <c r="I757" s="19">
        <v>600</v>
      </c>
      <c r="J757" s="24" t="s">
        <v>20</v>
      </c>
      <c r="K757" s="36"/>
    </row>
    <row r="758" ht="31" customHeight="1" spans="1:11">
      <c r="A758" s="19">
        <v>754</v>
      </c>
      <c r="B758" s="19" t="s">
        <v>801</v>
      </c>
      <c r="C758" s="19" t="s">
        <v>826</v>
      </c>
      <c r="D758" s="19" t="s">
        <v>844</v>
      </c>
      <c r="E758" s="39" t="s">
        <v>17</v>
      </c>
      <c r="F758" s="20" t="s">
        <v>18</v>
      </c>
      <c r="G758" s="20" t="s">
        <v>19</v>
      </c>
      <c r="H758" s="37">
        <v>45292</v>
      </c>
      <c r="I758" s="19">
        <v>600</v>
      </c>
      <c r="J758" s="24" t="s">
        <v>20</v>
      </c>
      <c r="K758" s="36"/>
    </row>
    <row r="759" ht="31" customHeight="1" spans="1:10">
      <c r="A759" s="19">
        <v>755</v>
      </c>
      <c r="B759" s="19" t="s">
        <v>801</v>
      </c>
      <c r="C759" s="19" t="s">
        <v>826</v>
      </c>
      <c r="D759" s="19" t="s">
        <v>845</v>
      </c>
      <c r="E759" s="39" t="s">
        <v>17</v>
      </c>
      <c r="F759" s="20" t="s">
        <v>18</v>
      </c>
      <c r="G759" s="20" t="s">
        <v>38</v>
      </c>
      <c r="H759" s="37">
        <v>45292</v>
      </c>
      <c r="I759" s="19">
        <v>600</v>
      </c>
      <c r="J759" s="24" t="s">
        <v>20</v>
      </c>
    </row>
    <row r="760" ht="31" customHeight="1" spans="1:11">
      <c r="A760" s="19">
        <v>756</v>
      </c>
      <c r="B760" s="19" t="s">
        <v>801</v>
      </c>
      <c r="C760" s="19" t="s">
        <v>826</v>
      </c>
      <c r="D760" s="19" t="s">
        <v>846</v>
      </c>
      <c r="E760" s="39" t="s">
        <v>17</v>
      </c>
      <c r="F760" s="20" t="s">
        <v>18</v>
      </c>
      <c r="G760" s="20" t="s">
        <v>19</v>
      </c>
      <c r="H760" s="37">
        <v>45292</v>
      </c>
      <c r="I760" s="19">
        <v>600</v>
      </c>
      <c r="J760" s="24" t="s">
        <v>20</v>
      </c>
      <c r="K760" s="36"/>
    </row>
    <row r="761" ht="31" customHeight="1" spans="1:11">
      <c r="A761" s="19">
        <v>757</v>
      </c>
      <c r="B761" s="19" t="s">
        <v>801</v>
      </c>
      <c r="C761" s="19" t="s">
        <v>826</v>
      </c>
      <c r="D761" s="19" t="s">
        <v>847</v>
      </c>
      <c r="E761" s="39" t="s">
        <v>17</v>
      </c>
      <c r="F761" s="20" t="s">
        <v>18</v>
      </c>
      <c r="G761" s="20" t="s">
        <v>19</v>
      </c>
      <c r="H761" s="37">
        <v>45292</v>
      </c>
      <c r="I761" s="19">
        <v>600</v>
      </c>
      <c r="J761" s="24" t="s">
        <v>20</v>
      </c>
      <c r="K761" s="36"/>
    </row>
    <row r="762" ht="31" customHeight="1" spans="1:11">
      <c r="A762" s="19">
        <v>758</v>
      </c>
      <c r="B762" s="19" t="s">
        <v>801</v>
      </c>
      <c r="C762" s="19" t="s">
        <v>826</v>
      </c>
      <c r="D762" s="19" t="s">
        <v>848</v>
      </c>
      <c r="E762" s="39" t="s">
        <v>17</v>
      </c>
      <c r="F762" s="20" t="s">
        <v>18</v>
      </c>
      <c r="G762" s="20" t="s">
        <v>19</v>
      </c>
      <c r="H762" s="37">
        <v>45324</v>
      </c>
      <c r="I762" s="19">
        <v>600</v>
      </c>
      <c r="J762" s="24" t="s">
        <v>20</v>
      </c>
      <c r="K762" s="36"/>
    </row>
    <row r="763" ht="31" customHeight="1" spans="1:11">
      <c r="A763" s="19">
        <v>759</v>
      </c>
      <c r="B763" s="19" t="s">
        <v>801</v>
      </c>
      <c r="C763" s="19" t="s">
        <v>826</v>
      </c>
      <c r="D763" s="19" t="s">
        <v>849</v>
      </c>
      <c r="E763" s="39" t="s">
        <v>17</v>
      </c>
      <c r="F763" s="20" t="s">
        <v>18</v>
      </c>
      <c r="G763" s="20" t="s">
        <v>19</v>
      </c>
      <c r="H763" s="37">
        <v>45324</v>
      </c>
      <c r="I763" s="19">
        <v>600</v>
      </c>
      <c r="J763" s="24" t="s">
        <v>20</v>
      </c>
      <c r="K763" s="36"/>
    </row>
    <row r="764" ht="31" customHeight="1" spans="1:11">
      <c r="A764" s="19">
        <v>760</v>
      </c>
      <c r="B764" s="19" t="s">
        <v>801</v>
      </c>
      <c r="C764" s="19" t="s">
        <v>826</v>
      </c>
      <c r="D764" s="19" t="s">
        <v>850</v>
      </c>
      <c r="E764" s="39" t="s">
        <v>17</v>
      </c>
      <c r="F764" s="20" t="s">
        <v>18</v>
      </c>
      <c r="G764" s="20" t="s">
        <v>19</v>
      </c>
      <c r="H764" s="37">
        <v>45324</v>
      </c>
      <c r="I764" s="19">
        <v>600</v>
      </c>
      <c r="J764" s="24" t="s">
        <v>20</v>
      </c>
      <c r="K764" s="36"/>
    </row>
    <row r="765" ht="31" customHeight="1" spans="1:11">
      <c r="A765" s="19">
        <v>761</v>
      </c>
      <c r="B765" s="19" t="s">
        <v>801</v>
      </c>
      <c r="C765" s="19" t="s">
        <v>826</v>
      </c>
      <c r="D765" s="19" t="s">
        <v>851</v>
      </c>
      <c r="E765" s="39" t="s">
        <v>17</v>
      </c>
      <c r="F765" s="20" t="s">
        <v>18</v>
      </c>
      <c r="G765" s="20" t="s">
        <v>19</v>
      </c>
      <c r="H765" s="37">
        <v>45353</v>
      </c>
      <c r="I765" s="19">
        <v>600</v>
      </c>
      <c r="J765" s="24" t="s">
        <v>20</v>
      </c>
      <c r="K765" s="36"/>
    </row>
    <row r="766" ht="31" customHeight="1" spans="1:11">
      <c r="A766" s="19">
        <v>762</v>
      </c>
      <c r="B766" s="19" t="s">
        <v>801</v>
      </c>
      <c r="C766" s="19" t="s">
        <v>826</v>
      </c>
      <c r="D766" s="19" t="s">
        <v>852</v>
      </c>
      <c r="E766" s="39" t="s">
        <v>17</v>
      </c>
      <c r="F766" s="20" t="s">
        <v>18</v>
      </c>
      <c r="G766" s="20" t="s">
        <v>19</v>
      </c>
      <c r="H766" s="37">
        <v>45292</v>
      </c>
      <c r="I766" s="19">
        <v>600</v>
      </c>
      <c r="J766" s="24" t="s">
        <v>20</v>
      </c>
      <c r="K766" s="36"/>
    </row>
    <row r="767" ht="31" customHeight="1" spans="1:11">
      <c r="A767" s="19">
        <v>763</v>
      </c>
      <c r="B767" s="19" t="s">
        <v>801</v>
      </c>
      <c r="C767" s="19" t="s">
        <v>826</v>
      </c>
      <c r="D767" s="19" t="s">
        <v>853</v>
      </c>
      <c r="E767" s="39" t="s">
        <v>17</v>
      </c>
      <c r="F767" s="20" t="s">
        <v>18</v>
      </c>
      <c r="G767" s="20" t="s">
        <v>32</v>
      </c>
      <c r="H767" s="37">
        <v>45352</v>
      </c>
      <c r="I767" s="19">
        <v>800</v>
      </c>
      <c r="J767" s="24" t="s">
        <v>20</v>
      </c>
      <c r="K767" s="36"/>
    </row>
    <row r="768" ht="31" customHeight="1" spans="1:11">
      <c r="A768" s="19">
        <v>764</v>
      </c>
      <c r="B768" s="19" t="s">
        <v>801</v>
      </c>
      <c r="C768" s="19" t="s">
        <v>826</v>
      </c>
      <c r="D768" s="19" t="s">
        <v>854</v>
      </c>
      <c r="E768" s="39" t="s">
        <v>17</v>
      </c>
      <c r="F768" s="20" t="s">
        <v>18</v>
      </c>
      <c r="G768" s="20" t="s">
        <v>19</v>
      </c>
      <c r="H768" s="37">
        <v>45324</v>
      </c>
      <c r="I768" s="19">
        <v>600</v>
      </c>
      <c r="J768" s="24" t="s">
        <v>20</v>
      </c>
      <c r="K768" s="36"/>
    </row>
    <row r="769" ht="31" customHeight="1" spans="1:11">
      <c r="A769" s="19">
        <v>765</v>
      </c>
      <c r="B769" s="19" t="s">
        <v>801</v>
      </c>
      <c r="C769" s="19" t="s">
        <v>826</v>
      </c>
      <c r="D769" s="19" t="s">
        <v>855</v>
      </c>
      <c r="E769" s="39" t="s">
        <v>17</v>
      </c>
      <c r="F769" s="20" t="s">
        <v>18</v>
      </c>
      <c r="G769" s="20" t="s">
        <v>19</v>
      </c>
      <c r="H769" s="37">
        <v>45324</v>
      </c>
      <c r="I769" s="19">
        <v>600</v>
      </c>
      <c r="J769" s="24" t="s">
        <v>20</v>
      </c>
      <c r="K769" s="36"/>
    </row>
    <row r="770" ht="31" customHeight="1" spans="1:11">
      <c r="A770" s="19">
        <v>766</v>
      </c>
      <c r="B770" s="19" t="s">
        <v>801</v>
      </c>
      <c r="C770" s="19" t="s">
        <v>826</v>
      </c>
      <c r="D770" s="19" t="s">
        <v>856</v>
      </c>
      <c r="E770" s="39" t="s">
        <v>17</v>
      </c>
      <c r="F770" s="20" t="s">
        <v>18</v>
      </c>
      <c r="G770" s="20" t="s">
        <v>19</v>
      </c>
      <c r="H770" s="37">
        <v>45324</v>
      </c>
      <c r="I770" s="19">
        <v>600</v>
      </c>
      <c r="J770" s="24" t="s">
        <v>20</v>
      </c>
      <c r="K770" s="36"/>
    </row>
    <row r="771" ht="31" customHeight="1" spans="1:11">
      <c r="A771" s="19">
        <v>767</v>
      </c>
      <c r="B771" s="19" t="s">
        <v>801</v>
      </c>
      <c r="C771" s="19" t="s">
        <v>826</v>
      </c>
      <c r="D771" s="19" t="s">
        <v>857</v>
      </c>
      <c r="E771" s="39" t="s">
        <v>17</v>
      </c>
      <c r="F771" s="20" t="s">
        <v>18</v>
      </c>
      <c r="G771" s="20" t="s">
        <v>19</v>
      </c>
      <c r="H771" s="37">
        <v>45292</v>
      </c>
      <c r="I771" s="19">
        <v>600</v>
      </c>
      <c r="J771" s="24" t="s">
        <v>20</v>
      </c>
      <c r="K771" s="36"/>
    </row>
    <row r="772" ht="31" customHeight="1" spans="1:11">
      <c r="A772" s="19">
        <v>768</v>
      </c>
      <c r="B772" s="19" t="s">
        <v>801</v>
      </c>
      <c r="C772" s="19" t="s">
        <v>826</v>
      </c>
      <c r="D772" s="19" t="s">
        <v>858</v>
      </c>
      <c r="E772" s="39" t="s">
        <v>17</v>
      </c>
      <c r="F772" s="20" t="s">
        <v>18</v>
      </c>
      <c r="G772" s="20" t="s">
        <v>19</v>
      </c>
      <c r="H772" s="37">
        <v>45292</v>
      </c>
      <c r="I772" s="19">
        <v>600</v>
      </c>
      <c r="J772" s="24" t="s">
        <v>20</v>
      </c>
      <c r="K772" s="36"/>
    </row>
    <row r="773" ht="31" customHeight="1" spans="1:11">
      <c r="A773" s="19">
        <v>769</v>
      </c>
      <c r="B773" s="19" t="s">
        <v>801</v>
      </c>
      <c r="C773" s="19" t="s">
        <v>826</v>
      </c>
      <c r="D773" s="19" t="s">
        <v>859</v>
      </c>
      <c r="E773" s="39" t="s">
        <v>17</v>
      </c>
      <c r="F773" s="20" t="s">
        <v>18</v>
      </c>
      <c r="G773" s="20" t="s">
        <v>19</v>
      </c>
      <c r="H773" s="37">
        <v>45324</v>
      </c>
      <c r="I773" s="19">
        <v>600</v>
      </c>
      <c r="J773" s="24" t="s">
        <v>20</v>
      </c>
      <c r="K773" s="36"/>
    </row>
    <row r="774" ht="31" customHeight="1" spans="1:11">
      <c r="A774" s="19">
        <v>770</v>
      </c>
      <c r="B774" s="19" t="s">
        <v>801</v>
      </c>
      <c r="C774" s="19" t="s">
        <v>826</v>
      </c>
      <c r="D774" s="19" t="s">
        <v>860</v>
      </c>
      <c r="E774" s="39" t="s">
        <v>17</v>
      </c>
      <c r="F774" s="20" t="s">
        <v>18</v>
      </c>
      <c r="G774" s="20" t="s">
        <v>19</v>
      </c>
      <c r="H774" s="37">
        <v>45384</v>
      </c>
      <c r="I774" s="19">
        <v>600</v>
      </c>
      <c r="J774" s="24" t="s">
        <v>20</v>
      </c>
      <c r="K774" s="36"/>
    </row>
    <row r="775" ht="31" customHeight="1" spans="1:11">
      <c r="A775" s="19">
        <v>771</v>
      </c>
      <c r="B775" s="19" t="s">
        <v>801</v>
      </c>
      <c r="C775" s="19" t="s">
        <v>826</v>
      </c>
      <c r="D775" s="19" t="s">
        <v>861</v>
      </c>
      <c r="E775" s="39" t="s">
        <v>17</v>
      </c>
      <c r="F775" s="20" t="s">
        <v>18</v>
      </c>
      <c r="G775" s="20" t="s">
        <v>19</v>
      </c>
      <c r="H775" s="37">
        <v>45324</v>
      </c>
      <c r="I775" s="19">
        <v>600</v>
      </c>
      <c r="J775" s="24" t="s">
        <v>20</v>
      </c>
      <c r="K775" s="36"/>
    </row>
    <row r="776" ht="31" customHeight="1" spans="1:11">
      <c r="A776" s="19">
        <v>772</v>
      </c>
      <c r="B776" s="19" t="s">
        <v>801</v>
      </c>
      <c r="C776" s="19" t="s">
        <v>826</v>
      </c>
      <c r="D776" s="19" t="s">
        <v>862</v>
      </c>
      <c r="E776" s="39" t="s">
        <v>17</v>
      </c>
      <c r="F776" s="20" t="s">
        <v>18</v>
      </c>
      <c r="G776" s="20" t="s">
        <v>19</v>
      </c>
      <c r="H776" s="37">
        <v>45353</v>
      </c>
      <c r="I776" s="19">
        <v>600</v>
      </c>
      <c r="J776" s="24" t="s">
        <v>20</v>
      </c>
      <c r="K776" s="36"/>
    </row>
    <row r="777" ht="31" customHeight="1" spans="1:11">
      <c r="A777" s="19">
        <v>773</v>
      </c>
      <c r="B777" s="20" t="s">
        <v>801</v>
      </c>
      <c r="C777" s="20" t="s">
        <v>826</v>
      </c>
      <c r="D777" s="20" t="s">
        <v>863</v>
      </c>
      <c r="E777" s="38" t="s">
        <v>17</v>
      </c>
      <c r="F777" s="20" t="s">
        <v>18</v>
      </c>
      <c r="G777" s="20" t="s">
        <v>19</v>
      </c>
      <c r="H777" s="37">
        <v>45293</v>
      </c>
      <c r="I777" s="19">
        <v>600</v>
      </c>
      <c r="J777" s="24" t="s">
        <v>20</v>
      </c>
      <c r="K777" s="36"/>
    </row>
    <row r="778" ht="31" customHeight="1" spans="1:11">
      <c r="A778" s="19">
        <v>774</v>
      </c>
      <c r="B778" s="20" t="s">
        <v>801</v>
      </c>
      <c r="C778" s="20" t="s">
        <v>826</v>
      </c>
      <c r="D778" s="20" t="s">
        <v>864</v>
      </c>
      <c r="E778" s="38" t="s">
        <v>17</v>
      </c>
      <c r="F778" s="20" t="s">
        <v>18</v>
      </c>
      <c r="G778" s="20" t="s">
        <v>19</v>
      </c>
      <c r="H778" s="37">
        <v>45293</v>
      </c>
      <c r="I778" s="19">
        <v>600</v>
      </c>
      <c r="J778" s="24" t="s">
        <v>20</v>
      </c>
      <c r="K778" s="36"/>
    </row>
    <row r="779" ht="31" customHeight="1" spans="1:11">
      <c r="A779" s="19">
        <v>775</v>
      </c>
      <c r="B779" s="19" t="s">
        <v>801</v>
      </c>
      <c r="C779" s="19" t="s">
        <v>826</v>
      </c>
      <c r="D779" s="19" t="s">
        <v>865</v>
      </c>
      <c r="E779" s="31" t="s">
        <v>17</v>
      </c>
      <c r="F779" s="19" t="s">
        <v>18</v>
      </c>
      <c r="G779" s="19" t="s">
        <v>19</v>
      </c>
      <c r="H779" s="37">
        <v>45348</v>
      </c>
      <c r="I779" s="19">
        <v>600</v>
      </c>
      <c r="J779" s="24" t="s">
        <v>20</v>
      </c>
      <c r="K779" s="36"/>
    </row>
    <row r="780" ht="31" customHeight="1" spans="1:11">
      <c r="A780" s="19">
        <v>776</v>
      </c>
      <c r="B780" s="19" t="s">
        <v>801</v>
      </c>
      <c r="C780" s="19" t="s">
        <v>826</v>
      </c>
      <c r="D780" s="19" t="s">
        <v>866</v>
      </c>
      <c r="E780" s="31" t="s">
        <v>17</v>
      </c>
      <c r="F780" s="19" t="s">
        <v>18</v>
      </c>
      <c r="G780" s="19" t="s">
        <v>19</v>
      </c>
      <c r="H780" s="37">
        <v>45348</v>
      </c>
      <c r="I780" s="19">
        <v>600</v>
      </c>
      <c r="J780" s="24" t="s">
        <v>20</v>
      </c>
      <c r="K780" s="36"/>
    </row>
    <row r="781" ht="31" customHeight="1" spans="1:11">
      <c r="A781" s="19">
        <v>777</v>
      </c>
      <c r="B781" s="19" t="s">
        <v>801</v>
      </c>
      <c r="C781" s="19" t="s">
        <v>826</v>
      </c>
      <c r="D781" s="19" t="s">
        <v>867</v>
      </c>
      <c r="E781" s="31" t="s">
        <v>17</v>
      </c>
      <c r="F781" s="19" t="s">
        <v>18</v>
      </c>
      <c r="G781" s="19" t="s">
        <v>19</v>
      </c>
      <c r="H781" s="37">
        <v>45348</v>
      </c>
      <c r="I781" s="19">
        <v>600</v>
      </c>
      <c r="J781" s="24" t="s">
        <v>20</v>
      </c>
      <c r="K781" s="36"/>
    </row>
    <row r="782" ht="31" customHeight="1" spans="1:11">
      <c r="A782" s="19">
        <v>778</v>
      </c>
      <c r="B782" s="19" t="s">
        <v>801</v>
      </c>
      <c r="C782" s="19" t="s">
        <v>826</v>
      </c>
      <c r="D782" s="19" t="s">
        <v>868</v>
      </c>
      <c r="E782" s="31" t="s">
        <v>17</v>
      </c>
      <c r="F782" s="19" t="s">
        <v>18</v>
      </c>
      <c r="G782" s="19" t="s">
        <v>32</v>
      </c>
      <c r="H782" s="37">
        <v>45347</v>
      </c>
      <c r="I782" s="19">
        <v>800</v>
      </c>
      <c r="J782" s="24" t="s">
        <v>20</v>
      </c>
      <c r="K782" s="36"/>
    </row>
    <row r="783" ht="31" customHeight="1" spans="1:11">
      <c r="A783" s="19">
        <v>779</v>
      </c>
      <c r="B783" s="20" t="s">
        <v>801</v>
      </c>
      <c r="C783" s="19" t="s">
        <v>826</v>
      </c>
      <c r="D783" s="20" t="s">
        <v>869</v>
      </c>
      <c r="E783" s="21" t="s">
        <v>17</v>
      </c>
      <c r="F783" s="20" t="s">
        <v>18</v>
      </c>
      <c r="G783" s="20" t="s">
        <v>19</v>
      </c>
      <c r="H783" s="23">
        <v>45323</v>
      </c>
      <c r="I783" s="19">
        <v>600</v>
      </c>
      <c r="J783" s="24" t="s">
        <v>20</v>
      </c>
      <c r="K783" s="36"/>
    </row>
    <row r="784" ht="31" customHeight="1" spans="1:11">
      <c r="A784" s="19">
        <v>780</v>
      </c>
      <c r="B784" s="20" t="s">
        <v>801</v>
      </c>
      <c r="C784" s="19" t="s">
        <v>826</v>
      </c>
      <c r="D784" s="20" t="s">
        <v>870</v>
      </c>
      <c r="E784" s="21" t="s">
        <v>17</v>
      </c>
      <c r="F784" s="20" t="s">
        <v>18</v>
      </c>
      <c r="G784" s="20" t="s">
        <v>19</v>
      </c>
      <c r="H784" s="23">
        <v>45323</v>
      </c>
      <c r="I784" s="19">
        <v>600</v>
      </c>
      <c r="J784" s="24" t="s">
        <v>20</v>
      </c>
      <c r="K784" s="36"/>
    </row>
    <row r="785" ht="31" customHeight="1" spans="1:11">
      <c r="A785" s="19">
        <v>781</v>
      </c>
      <c r="B785" s="20" t="s">
        <v>801</v>
      </c>
      <c r="C785" s="19" t="s">
        <v>826</v>
      </c>
      <c r="D785" s="20" t="s">
        <v>871</v>
      </c>
      <c r="E785" s="21" t="s">
        <v>17</v>
      </c>
      <c r="F785" s="20" t="s">
        <v>18</v>
      </c>
      <c r="G785" s="20" t="s">
        <v>19</v>
      </c>
      <c r="H785" s="23">
        <v>45323</v>
      </c>
      <c r="I785" s="19">
        <v>600</v>
      </c>
      <c r="J785" s="24" t="s">
        <v>20</v>
      </c>
      <c r="K785" s="36"/>
    </row>
    <row r="786" ht="31" customHeight="1" spans="1:11">
      <c r="A786" s="19">
        <v>782</v>
      </c>
      <c r="B786" s="20" t="s">
        <v>801</v>
      </c>
      <c r="C786" s="19" t="s">
        <v>826</v>
      </c>
      <c r="D786" s="20" t="s">
        <v>872</v>
      </c>
      <c r="E786" s="21" t="s">
        <v>17</v>
      </c>
      <c r="F786" s="20" t="s">
        <v>18</v>
      </c>
      <c r="G786" s="20" t="s">
        <v>19</v>
      </c>
      <c r="H786" s="23">
        <v>45323</v>
      </c>
      <c r="I786" s="19">
        <v>600</v>
      </c>
      <c r="J786" s="24" t="s">
        <v>20</v>
      </c>
      <c r="K786" s="36"/>
    </row>
    <row r="787" ht="31" customHeight="1" spans="1:11">
      <c r="A787" s="19">
        <v>783</v>
      </c>
      <c r="B787" s="20" t="s">
        <v>801</v>
      </c>
      <c r="C787" s="19" t="s">
        <v>826</v>
      </c>
      <c r="D787" s="20" t="s">
        <v>873</v>
      </c>
      <c r="E787" s="21" t="s">
        <v>17</v>
      </c>
      <c r="F787" s="20" t="s">
        <v>18</v>
      </c>
      <c r="G787" s="20" t="s">
        <v>19</v>
      </c>
      <c r="H787" s="23">
        <v>45323</v>
      </c>
      <c r="I787" s="19">
        <v>600</v>
      </c>
      <c r="J787" s="24" t="s">
        <v>20</v>
      </c>
      <c r="K787" s="36"/>
    </row>
    <row r="788" ht="31" customHeight="1" spans="1:11">
      <c r="A788" s="19">
        <v>784</v>
      </c>
      <c r="B788" s="20" t="s">
        <v>801</v>
      </c>
      <c r="C788" s="19" t="s">
        <v>826</v>
      </c>
      <c r="D788" s="20" t="s">
        <v>874</v>
      </c>
      <c r="E788" s="21" t="s">
        <v>17</v>
      </c>
      <c r="F788" s="20" t="s">
        <v>18</v>
      </c>
      <c r="G788" s="20" t="s">
        <v>19</v>
      </c>
      <c r="H788" s="23">
        <v>45323</v>
      </c>
      <c r="I788" s="19">
        <v>600</v>
      </c>
      <c r="J788" s="24" t="s">
        <v>20</v>
      </c>
      <c r="K788" s="36"/>
    </row>
    <row r="789" ht="31" customHeight="1" spans="1:11">
      <c r="A789" s="19">
        <v>785</v>
      </c>
      <c r="B789" s="19" t="s">
        <v>875</v>
      </c>
      <c r="C789" s="19" t="s">
        <v>876</v>
      </c>
      <c r="D789" s="19" t="s">
        <v>877</v>
      </c>
      <c r="E789" s="31" t="s">
        <v>17</v>
      </c>
      <c r="F789" s="19" t="s">
        <v>18</v>
      </c>
      <c r="G789" s="19" t="s">
        <v>19</v>
      </c>
      <c r="H789" s="44">
        <v>45340</v>
      </c>
      <c r="I789" s="19">
        <f>IF(F789="是",VLOOKUP(G789,[161]Sheet2!A:C,3,FALSE),VLOOKUP(G789,[161]Sheet2!A:B,2,FALSE))</f>
        <v>600</v>
      </c>
      <c r="J789" s="24" t="s">
        <v>20</v>
      </c>
      <c r="K789" s="36"/>
    </row>
    <row r="790" ht="31" customHeight="1" spans="1:11">
      <c r="A790" s="19">
        <v>786</v>
      </c>
      <c r="B790" s="19" t="s">
        <v>875</v>
      </c>
      <c r="C790" s="19" t="s">
        <v>876</v>
      </c>
      <c r="D790" s="19" t="s">
        <v>878</v>
      </c>
      <c r="E790" s="31" t="s">
        <v>17</v>
      </c>
      <c r="F790" s="19" t="s">
        <v>18</v>
      </c>
      <c r="G790" s="19" t="s">
        <v>19</v>
      </c>
      <c r="H790" s="44">
        <v>45330</v>
      </c>
      <c r="I790" s="19">
        <f>IF(F790="是",VLOOKUP(G790,[161]Sheet2!A:C,3,FALSE),VLOOKUP(G790,[161]Sheet2!A:B,2,FALSE))</f>
        <v>600</v>
      </c>
      <c r="J790" s="24" t="s">
        <v>20</v>
      </c>
      <c r="K790" s="36"/>
    </row>
    <row r="791" ht="31" customHeight="1" spans="1:11">
      <c r="A791" s="19">
        <v>787</v>
      </c>
      <c r="B791" s="19" t="s">
        <v>875</v>
      </c>
      <c r="C791" s="19" t="s">
        <v>876</v>
      </c>
      <c r="D791" s="19" t="s">
        <v>879</v>
      </c>
      <c r="E791" s="31" t="s">
        <v>17</v>
      </c>
      <c r="F791" s="19" t="s">
        <v>18</v>
      </c>
      <c r="G791" s="19" t="s">
        <v>19</v>
      </c>
      <c r="H791" s="44">
        <v>45330</v>
      </c>
      <c r="I791" s="19">
        <f>IF(F791="是",VLOOKUP(G791,[161]Sheet2!A:C,3,FALSE),VLOOKUP(G791,[161]Sheet2!A:B,2,FALSE))</f>
        <v>600</v>
      </c>
      <c r="J791" s="24" t="s">
        <v>20</v>
      </c>
      <c r="K791" s="36"/>
    </row>
    <row r="792" ht="31" customHeight="1" spans="1:11">
      <c r="A792" s="19">
        <v>788</v>
      </c>
      <c r="B792" s="19" t="s">
        <v>875</v>
      </c>
      <c r="C792" s="19" t="s">
        <v>876</v>
      </c>
      <c r="D792" s="19" t="s">
        <v>880</v>
      </c>
      <c r="E792" s="31" t="s">
        <v>17</v>
      </c>
      <c r="F792" s="19" t="s">
        <v>18</v>
      </c>
      <c r="G792" s="19" t="s">
        <v>98</v>
      </c>
      <c r="H792" s="44">
        <v>45378</v>
      </c>
      <c r="I792" s="19">
        <f>IF(F792="是",VLOOKUP(G792,[161]Sheet2!A:C,3,FALSE),VLOOKUP(G792,[161]Sheet2!A:B,2,FALSE))</f>
        <v>800</v>
      </c>
      <c r="J792" s="24" t="s">
        <v>20</v>
      </c>
      <c r="K792" s="36"/>
    </row>
    <row r="793" ht="31" customHeight="1" spans="1:11">
      <c r="A793" s="19">
        <v>789</v>
      </c>
      <c r="B793" s="19" t="s">
        <v>875</v>
      </c>
      <c r="C793" s="19" t="s">
        <v>876</v>
      </c>
      <c r="D793" s="19" t="s">
        <v>881</v>
      </c>
      <c r="E793" s="31" t="s">
        <v>17</v>
      </c>
      <c r="F793" s="19" t="s">
        <v>18</v>
      </c>
      <c r="G793" s="19" t="s">
        <v>19</v>
      </c>
      <c r="H793" s="44">
        <v>45392</v>
      </c>
      <c r="I793" s="19">
        <f>IF(F793="是",VLOOKUP(G793,[161]Sheet2!A:C,3,FALSE),VLOOKUP(G793,[161]Sheet2!A:B,2,FALSE))</f>
        <v>600</v>
      </c>
      <c r="J793" s="24" t="s">
        <v>20</v>
      </c>
      <c r="K793" s="36"/>
    </row>
    <row r="794" ht="31" customHeight="1" spans="1:11">
      <c r="A794" s="19">
        <v>790</v>
      </c>
      <c r="B794" s="19" t="s">
        <v>875</v>
      </c>
      <c r="C794" s="19" t="s">
        <v>876</v>
      </c>
      <c r="D794" s="19" t="s">
        <v>882</v>
      </c>
      <c r="E794" s="31" t="s">
        <v>17</v>
      </c>
      <c r="F794" s="19" t="s">
        <v>18</v>
      </c>
      <c r="G794" s="19" t="s">
        <v>19</v>
      </c>
      <c r="H794" s="44">
        <v>45361</v>
      </c>
      <c r="I794" s="19">
        <f>IF(F794="是",VLOOKUP(G794,[161]Sheet2!A:C,3,FALSE),VLOOKUP(G794,[161]Sheet2!A:B,2,FALSE))</f>
        <v>600</v>
      </c>
      <c r="J794" s="24" t="s">
        <v>20</v>
      </c>
      <c r="K794" s="36"/>
    </row>
    <row r="795" ht="31" customHeight="1" spans="1:11">
      <c r="A795" s="19">
        <v>791</v>
      </c>
      <c r="B795" s="19" t="s">
        <v>875</v>
      </c>
      <c r="C795" s="19" t="s">
        <v>876</v>
      </c>
      <c r="D795" s="19" t="s">
        <v>883</v>
      </c>
      <c r="E795" s="31" t="s">
        <v>17</v>
      </c>
      <c r="F795" s="19" t="s">
        <v>18</v>
      </c>
      <c r="G795" s="19" t="s">
        <v>19</v>
      </c>
      <c r="H795" s="44">
        <v>45330</v>
      </c>
      <c r="I795" s="19">
        <v>600</v>
      </c>
      <c r="J795" s="24" t="s">
        <v>20</v>
      </c>
      <c r="K795" s="36"/>
    </row>
    <row r="796" ht="31" customHeight="1" spans="1:11">
      <c r="A796" s="19">
        <v>792</v>
      </c>
      <c r="B796" s="19" t="s">
        <v>875</v>
      </c>
      <c r="C796" s="19" t="s">
        <v>876</v>
      </c>
      <c r="D796" s="19" t="s">
        <v>884</v>
      </c>
      <c r="E796" s="31" t="s">
        <v>17</v>
      </c>
      <c r="F796" s="19" t="s">
        <v>18</v>
      </c>
      <c r="G796" s="19" t="s">
        <v>800</v>
      </c>
      <c r="H796" s="44">
        <v>45323</v>
      </c>
      <c r="I796" s="19">
        <v>800</v>
      </c>
      <c r="J796" s="24" t="s">
        <v>20</v>
      </c>
      <c r="K796" s="36"/>
    </row>
    <row r="797" ht="31" customHeight="1" spans="1:11">
      <c r="A797" s="19">
        <v>793</v>
      </c>
      <c r="B797" s="19" t="s">
        <v>875</v>
      </c>
      <c r="C797" s="19" t="s">
        <v>876</v>
      </c>
      <c r="D797" s="19" t="s">
        <v>885</v>
      </c>
      <c r="E797" s="31" t="s">
        <v>17</v>
      </c>
      <c r="F797" s="19" t="s">
        <v>18</v>
      </c>
      <c r="G797" s="19" t="s">
        <v>29</v>
      </c>
      <c r="H797" s="37">
        <v>45323</v>
      </c>
      <c r="I797" s="19">
        <f>IF(F797="是",VLOOKUP(G797,[164]Sheet2!A:C,3,FALSE),VLOOKUP(G797,[164]Sheet2!A:B,2,FALSE))</f>
        <v>800</v>
      </c>
      <c r="J797" s="24" t="s">
        <v>20</v>
      </c>
      <c r="K797" s="36"/>
    </row>
    <row r="798" ht="31" customHeight="1" spans="1:11">
      <c r="A798" s="19">
        <v>794</v>
      </c>
      <c r="B798" s="19" t="s">
        <v>875</v>
      </c>
      <c r="C798" s="19" t="s">
        <v>886</v>
      </c>
      <c r="D798" s="19" t="s">
        <v>887</v>
      </c>
      <c r="E798" s="31" t="s">
        <v>17</v>
      </c>
      <c r="F798" s="19" t="s">
        <v>18</v>
      </c>
      <c r="G798" s="19" t="s">
        <v>19</v>
      </c>
      <c r="H798" s="37">
        <v>45352</v>
      </c>
      <c r="I798" s="19">
        <f>IF(F798="是",VLOOKUP(G798,[162]Sheet2!A:C,3,FALSE),VLOOKUP(G798,[162]Sheet2!A:B,2,FALSE))</f>
        <v>600</v>
      </c>
      <c r="J798" s="24" t="s">
        <v>20</v>
      </c>
      <c r="K798" s="36"/>
    </row>
    <row r="799" ht="31" customHeight="1" spans="1:11">
      <c r="A799" s="19">
        <v>795</v>
      </c>
      <c r="B799" s="19" t="s">
        <v>875</v>
      </c>
      <c r="C799" s="19" t="s">
        <v>886</v>
      </c>
      <c r="D799" s="19" t="s">
        <v>888</v>
      </c>
      <c r="E799" s="31" t="s">
        <v>17</v>
      </c>
      <c r="F799" s="19" t="s">
        <v>18</v>
      </c>
      <c r="G799" s="19" t="s">
        <v>19</v>
      </c>
      <c r="H799" s="37">
        <v>45352</v>
      </c>
      <c r="I799" s="19">
        <v>600</v>
      </c>
      <c r="J799" s="24" t="s">
        <v>20</v>
      </c>
      <c r="K799" s="36"/>
    </row>
    <row r="800" ht="31" customHeight="1" spans="1:11">
      <c r="A800" s="19">
        <v>796</v>
      </c>
      <c r="B800" s="19" t="s">
        <v>875</v>
      </c>
      <c r="C800" s="19" t="s">
        <v>889</v>
      </c>
      <c r="D800" s="19" t="s">
        <v>890</v>
      </c>
      <c r="E800" s="31" t="s">
        <v>17</v>
      </c>
      <c r="F800" s="19" t="s">
        <v>18</v>
      </c>
      <c r="G800" s="19" t="s">
        <v>19</v>
      </c>
      <c r="H800" s="37">
        <v>45323</v>
      </c>
      <c r="I800" s="19">
        <f>IF(F800="是",VLOOKUP(G800,[163]Sheet2!A:C,3,FALSE),VLOOKUP(G800,[163]Sheet2!A:B,2,FALSE))</f>
        <v>600</v>
      </c>
      <c r="J800" s="24" t="s">
        <v>20</v>
      </c>
      <c r="K800" s="36"/>
    </row>
    <row r="801" ht="31" customHeight="1" spans="1:11">
      <c r="A801" s="19">
        <v>797</v>
      </c>
      <c r="B801" s="19" t="s">
        <v>875</v>
      </c>
      <c r="C801" s="19" t="s">
        <v>889</v>
      </c>
      <c r="D801" s="19" t="s">
        <v>891</v>
      </c>
      <c r="E801" s="31" t="s">
        <v>17</v>
      </c>
      <c r="F801" s="19" t="s">
        <v>18</v>
      </c>
      <c r="G801" s="19" t="s">
        <v>19</v>
      </c>
      <c r="H801" s="45">
        <v>45352</v>
      </c>
      <c r="I801" s="19">
        <f>IF(F801="是",VLOOKUP(G801,[163]Sheet2!A:C,3,FALSE),VLOOKUP(G801,[163]Sheet2!A:B,2,FALSE))</f>
        <v>600</v>
      </c>
      <c r="J801" s="24" t="s">
        <v>20</v>
      </c>
      <c r="K801" s="36"/>
    </row>
    <row r="802" ht="31" customHeight="1" spans="1:11">
      <c r="A802" s="19">
        <v>798</v>
      </c>
      <c r="B802" s="19" t="s">
        <v>875</v>
      </c>
      <c r="C802" s="19" t="s">
        <v>889</v>
      </c>
      <c r="D802" s="19" t="s">
        <v>892</v>
      </c>
      <c r="E802" s="19" t="s">
        <v>17</v>
      </c>
      <c r="F802" s="19" t="s">
        <v>18</v>
      </c>
      <c r="G802" s="19" t="s">
        <v>19</v>
      </c>
      <c r="H802" s="45">
        <v>45474</v>
      </c>
      <c r="I802" s="19">
        <v>600</v>
      </c>
      <c r="J802" s="24" t="s">
        <v>20</v>
      </c>
      <c r="K802" s="36"/>
    </row>
    <row r="803" s="8" customFormat="1" ht="31" customHeight="1" spans="1:11">
      <c r="A803" s="19">
        <v>799</v>
      </c>
      <c r="B803" s="19" t="s">
        <v>875</v>
      </c>
      <c r="C803" s="19" t="s">
        <v>893</v>
      </c>
      <c r="D803" s="19" t="s">
        <v>894</v>
      </c>
      <c r="E803" s="31" t="s">
        <v>17</v>
      </c>
      <c r="F803" s="19" t="s">
        <v>18</v>
      </c>
      <c r="G803" s="19" t="s">
        <v>19</v>
      </c>
      <c r="H803" s="45">
        <v>45352</v>
      </c>
      <c r="I803" s="19">
        <f>IF(F803="是",VLOOKUP(G803,[165]Sheet2!A:C,3,FALSE),VLOOKUP(G803,[165]Sheet2!A:B,2,FALSE))</f>
        <v>600</v>
      </c>
      <c r="J803" s="24" t="s">
        <v>20</v>
      </c>
      <c r="K803" s="49"/>
    </row>
    <row r="804" ht="31" customHeight="1" spans="1:11">
      <c r="A804" s="19">
        <v>800</v>
      </c>
      <c r="B804" s="19" t="s">
        <v>875</v>
      </c>
      <c r="C804" s="19" t="s">
        <v>893</v>
      </c>
      <c r="D804" s="19" t="s">
        <v>895</v>
      </c>
      <c r="E804" s="31" t="s">
        <v>17</v>
      </c>
      <c r="F804" s="19" t="s">
        <v>18</v>
      </c>
      <c r="G804" s="19" t="s">
        <v>19</v>
      </c>
      <c r="H804" s="45">
        <v>45352</v>
      </c>
      <c r="I804" s="19">
        <v>600</v>
      </c>
      <c r="J804" s="24" t="s">
        <v>20</v>
      </c>
      <c r="K804" s="36"/>
    </row>
    <row r="805" ht="31" customHeight="1" spans="1:11">
      <c r="A805" s="19">
        <v>801</v>
      </c>
      <c r="B805" s="19" t="s">
        <v>875</v>
      </c>
      <c r="C805" s="19" t="s">
        <v>893</v>
      </c>
      <c r="D805" s="19" t="s">
        <v>896</v>
      </c>
      <c r="E805" s="31" t="s">
        <v>17</v>
      </c>
      <c r="F805" s="19" t="s">
        <v>18</v>
      </c>
      <c r="G805" s="19" t="s">
        <v>19</v>
      </c>
      <c r="H805" s="45">
        <v>45340</v>
      </c>
      <c r="I805" s="19">
        <v>600</v>
      </c>
      <c r="J805" s="24" t="s">
        <v>20</v>
      </c>
      <c r="K805" s="36"/>
    </row>
    <row r="806" ht="31" customHeight="1" spans="1:11">
      <c r="A806" s="19">
        <v>802</v>
      </c>
      <c r="B806" s="19" t="s">
        <v>875</v>
      </c>
      <c r="C806" s="19" t="s">
        <v>893</v>
      </c>
      <c r="D806" s="19" t="s">
        <v>897</v>
      </c>
      <c r="E806" s="31" t="s">
        <v>17</v>
      </c>
      <c r="F806" s="19" t="s">
        <v>18</v>
      </c>
      <c r="G806" s="19" t="s">
        <v>19</v>
      </c>
      <c r="H806" s="45">
        <v>45352</v>
      </c>
      <c r="I806" s="19">
        <v>600</v>
      </c>
      <c r="J806" s="24" t="s">
        <v>20</v>
      </c>
      <c r="K806" s="36"/>
    </row>
    <row r="807" ht="31" customHeight="1" spans="1:11">
      <c r="A807" s="19">
        <v>803</v>
      </c>
      <c r="B807" s="20" t="s">
        <v>875</v>
      </c>
      <c r="C807" s="20" t="s">
        <v>893</v>
      </c>
      <c r="D807" s="20" t="s">
        <v>898</v>
      </c>
      <c r="E807" s="21" t="s">
        <v>17</v>
      </c>
      <c r="F807" s="20" t="s">
        <v>18</v>
      </c>
      <c r="G807" s="20" t="s">
        <v>899</v>
      </c>
      <c r="H807" s="45">
        <v>45474</v>
      </c>
      <c r="I807" s="19">
        <v>800</v>
      </c>
      <c r="J807" s="24" t="s">
        <v>20</v>
      </c>
      <c r="K807" s="36"/>
    </row>
    <row r="808" ht="31" customHeight="1" spans="1:11">
      <c r="A808" s="19">
        <v>804</v>
      </c>
      <c r="B808" s="19" t="s">
        <v>875</v>
      </c>
      <c r="C808" s="19" t="s">
        <v>893</v>
      </c>
      <c r="D808" s="19" t="s">
        <v>900</v>
      </c>
      <c r="E808" s="31" t="s">
        <v>17</v>
      </c>
      <c r="F808" s="19" t="s">
        <v>18</v>
      </c>
      <c r="G808" s="19" t="s">
        <v>19</v>
      </c>
      <c r="H808" s="45">
        <v>45474</v>
      </c>
      <c r="I808" s="19">
        <f>IF(F808="是",VLOOKUP(G808,[165]Sheet2!A:C,3,FALSE),VLOOKUP(G808,[165]Sheet2!A:B,2,FALSE))</f>
        <v>600</v>
      </c>
      <c r="J808" s="24" t="s">
        <v>20</v>
      </c>
      <c r="K808" s="36"/>
    </row>
    <row r="809" ht="31" customHeight="1" spans="1:11">
      <c r="A809" s="19">
        <v>805</v>
      </c>
      <c r="B809" s="19" t="s">
        <v>875</v>
      </c>
      <c r="C809" s="19" t="s">
        <v>893</v>
      </c>
      <c r="D809" s="19" t="s">
        <v>901</v>
      </c>
      <c r="E809" s="31" t="s">
        <v>17</v>
      </c>
      <c r="F809" s="19" t="s">
        <v>18</v>
      </c>
      <c r="G809" s="19" t="s">
        <v>19</v>
      </c>
      <c r="H809" s="45">
        <v>45444</v>
      </c>
      <c r="I809" s="19">
        <f>IF(F809="是",VLOOKUP(G809,[165]Sheet2!A:C,3,FALSE),VLOOKUP(G809,[165]Sheet2!A:B,2,FALSE))</f>
        <v>600</v>
      </c>
      <c r="J809" s="24" t="s">
        <v>20</v>
      </c>
      <c r="K809" s="36"/>
    </row>
    <row r="810" ht="31" customHeight="1" spans="1:11">
      <c r="A810" s="19">
        <v>806</v>
      </c>
      <c r="B810" s="19" t="s">
        <v>875</v>
      </c>
      <c r="C810" s="19" t="s">
        <v>902</v>
      </c>
      <c r="D810" s="19" t="s">
        <v>903</v>
      </c>
      <c r="E810" s="21" t="s">
        <v>17</v>
      </c>
      <c r="F810" s="19" t="s">
        <v>18</v>
      </c>
      <c r="G810" s="19" t="s">
        <v>19</v>
      </c>
      <c r="H810" s="46" t="s">
        <v>446</v>
      </c>
      <c r="I810" s="19">
        <v>600</v>
      </c>
      <c r="J810" s="24" t="s">
        <v>20</v>
      </c>
      <c r="K810" s="36"/>
    </row>
    <row r="811" ht="31" customHeight="1" spans="1:11">
      <c r="A811" s="19">
        <v>807</v>
      </c>
      <c r="B811" s="20" t="s">
        <v>875</v>
      </c>
      <c r="C811" s="20" t="s">
        <v>902</v>
      </c>
      <c r="D811" s="20" t="s">
        <v>904</v>
      </c>
      <c r="E811" s="21" t="s">
        <v>17</v>
      </c>
      <c r="F811" s="20" t="s">
        <v>18</v>
      </c>
      <c r="G811" s="20" t="s">
        <v>98</v>
      </c>
      <c r="H811" s="23">
        <v>45323</v>
      </c>
      <c r="I811" s="19">
        <f>IF(F811="是",VLOOKUP(G811,[166]Sheet2!A$1:C$65536,3,FALSE),VLOOKUP(G811,[166]Sheet2!A$1:B$65536,2,FALSE))</f>
        <v>800</v>
      </c>
      <c r="J811" s="24" t="s">
        <v>20</v>
      </c>
      <c r="K811" s="36"/>
    </row>
    <row r="812" ht="31" customHeight="1" spans="1:11">
      <c r="A812" s="19">
        <v>808</v>
      </c>
      <c r="B812" s="19" t="s">
        <v>875</v>
      </c>
      <c r="C812" s="19" t="s">
        <v>902</v>
      </c>
      <c r="D812" s="19" t="s">
        <v>905</v>
      </c>
      <c r="E812" s="21" t="s">
        <v>17</v>
      </c>
      <c r="F812" s="21" t="s">
        <v>18</v>
      </c>
      <c r="G812" s="21" t="s">
        <v>32</v>
      </c>
      <c r="H812" s="23">
        <v>45323</v>
      </c>
      <c r="I812" s="19">
        <f>IF(F812="是",VLOOKUP(G812,[167]Sheet2!A:C,3,FALSE),VLOOKUP(G812,[167]Sheet2!A:B,2,FALSE))</f>
        <v>800</v>
      </c>
      <c r="J812" s="24" t="s">
        <v>20</v>
      </c>
      <c r="K812" s="36"/>
    </row>
    <row r="813" ht="31" customHeight="1" spans="1:11">
      <c r="A813" s="19">
        <v>809</v>
      </c>
      <c r="B813" s="19" t="s">
        <v>875</v>
      </c>
      <c r="C813" s="19" t="s">
        <v>902</v>
      </c>
      <c r="D813" s="19" t="s">
        <v>906</v>
      </c>
      <c r="E813" s="21" t="s">
        <v>17</v>
      </c>
      <c r="F813" s="19" t="s">
        <v>18</v>
      </c>
      <c r="G813" s="19" t="s">
        <v>19</v>
      </c>
      <c r="H813" s="23">
        <v>45323</v>
      </c>
      <c r="I813" s="19">
        <v>600</v>
      </c>
      <c r="J813" s="24" t="s">
        <v>20</v>
      </c>
      <c r="K813" s="36"/>
    </row>
    <row r="814" ht="31" customHeight="1" spans="1:11">
      <c r="A814" s="19">
        <v>810</v>
      </c>
      <c r="B814" s="47" t="s">
        <v>875</v>
      </c>
      <c r="C814" s="47" t="s">
        <v>902</v>
      </c>
      <c r="D814" s="47" t="s">
        <v>907</v>
      </c>
      <c r="E814" s="48" t="s">
        <v>17</v>
      </c>
      <c r="F814" s="47" t="s">
        <v>18</v>
      </c>
      <c r="G814" s="47" t="s">
        <v>19</v>
      </c>
      <c r="H814" s="22">
        <v>45474</v>
      </c>
      <c r="I814" s="19">
        <v>600</v>
      </c>
      <c r="J814" s="24" t="s">
        <v>20</v>
      </c>
      <c r="K814" s="36"/>
    </row>
    <row r="815" ht="31" customHeight="1" spans="1:11">
      <c r="A815" s="19">
        <v>811</v>
      </c>
      <c r="B815" s="20" t="s">
        <v>875</v>
      </c>
      <c r="C815" s="20" t="s">
        <v>902</v>
      </c>
      <c r="D815" s="20" t="s">
        <v>908</v>
      </c>
      <c r="E815" s="48" t="s">
        <v>17</v>
      </c>
      <c r="F815" s="20" t="s">
        <v>18</v>
      </c>
      <c r="G815" s="20" t="s">
        <v>98</v>
      </c>
      <c r="H815" s="23">
        <v>45323</v>
      </c>
      <c r="I815" s="19">
        <f>IF(F815="是",VLOOKUP(G815,[168]Sheet2!A$1:C$65536,3,FALSE),VLOOKUP(G815,[168]Sheet2!A$1:B$65536,2,FALSE))</f>
        <v>800</v>
      </c>
      <c r="J815" s="24" t="s">
        <v>20</v>
      </c>
      <c r="K815" s="36"/>
    </row>
    <row r="816" ht="31" customHeight="1" spans="1:11">
      <c r="A816" s="19">
        <v>812</v>
      </c>
      <c r="B816" s="20" t="s">
        <v>875</v>
      </c>
      <c r="C816" s="20" t="s">
        <v>902</v>
      </c>
      <c r="D816" s="19" t="s">
        <v>909</v>
      </c>
      <c r="E816" s="48" t="s">
        <v>17</v>
      </c>
      <c r="F816" s="19" t="s">
        <v>18</v>
      </c>
      <c r="G816" s="19" t="s">
        <v>19</v>
      </c>
      <c r="H816" s="23">
        <v>45323</v>
      </c>
      <c r="I816" s="19">
        <v>600</v>
      </c>
      <c r="J816" s="24" t="s">
        <v>20</v>
      </c>
      <c r="K816" s="36"/>
    </row>
    <row r="817" ht="31" customHeight="1" spans="1:11">
      <c r="A817" s="19">
        <v>813</v>
      </c>
      <c r="B817" s="20" t="s">
        <v>875</v>
      </c>
      <c r="C817" s="20" t="s">
        <v>902</v>
      </c>
      <c r="D817" s="19" t="s">
        <v>910</v>
      </c>
      <c r="E817" s="48" t="s">
        <v>17</v>
      </c>
      <c r="F817" s="19" t="s">
        <v>18</v>
      </c>
      <c r="G817" s="19" t="s">
        <v>19</v>
      </c>
      <c r="H817" s="23">
        <v>45323</v>
      </c>
      <c r="I817" s="19">
        <v>600</v>
      </c>
      <c r="J817" s="24" t="s">
        <v>20</v>
      </c>
      <c r="K817" s="36"/>
    </row>
    <row r="818" ht="31" customHeight="1" spans="1:11">
      <c r="A818" s="19">
        <v>814</v>
      </c>
      <c r="B818" s="20" t="s">
        <v>875</v>
      </c>
      <c r="C818" s="20" t="s">
        <v>902</v>
      </c>
      <c r="D818" s="19" t="s">
        <v>911</v>
      </c>
      <c r="E818" s="48" t="s">
        <v>17</v>
      </c>
      <c r="F818" s="19" t="s">
        <v>18</v>
      </c>
      <c r="G818" s="19" t="s">
        <v>19</v>
      </c>
      <c r="H818" s="23">
        <v>45323</v>
      </c>
      <c r="I818" s="19">
        <v>600</v>
      </c>
      <c r="J818" s="24" t="s">
        <v>20</v>
      </c>
      <c r="K818" s="36"/>
    </row>
    <row r="819" ht="31" customHeight="1" spans="1:11">
      <c r="A819" s="19">
        <v>815</v>
      </c>
      <c r="B819" s="20" t="s">
        <v>875</v>
      </c>
      <c r="C819" s="20" t="s">
        <v>902</v>
      </c>
      <c r="D819" s="20" t="s">
        <v>912</v>
      </c>
      <c r="E819" s="48" t="s">
        <v>17</v>
      </c>
      <c r="F819" s="20" t="s">
        <v>18</v>
      </c>
      <c r="G819" s="20" t="s">
        <v>19</v>
      </c>
      <c r="H819" s="46" t="s">
        <v>446</v>
      </c>
      <c r="I819" s="19">
        <f>IF(F819="是",VLOOKUP(G819,[169]Sheet2!A$1:C$65536,3,FALSE),VLOOKUP(G819,[169]Sheet2!A$1:B$65536,2,FALSE))</f>
        <v>600</v>
      </c>
      <c r="J819" s="24" t="s">
        <v>20</v>
      </c>
      <c r="K819" s="36"/>
    </row>
    <row r="820" ht="31" customHeight="1" spans="1:11">
      <c r="A820" s="19">
        <v>816</v>
      </c>
      <c r="B820" s="20" t="s">
        <v>875</v>
      </c>
      <c r="C820" s="20" t="s">
        <v>902</v>
      </c>
      <c r="D820" s="20" t="s">
        <v>913</v>
      </c>
      <c r="E820" s="48" t="s">
        <v>17</v>
      </c>
      <c r="F820" s="19" t="s">
        <v>18</v>
      </c>
      <c r="G820" s="19" t="s">
        <v>301</v>
      </c>
      <c r="H820" s="46" t="s">
        <v>449</v>
      </c>
      <c r="I820" s="19">
        <v>800</v>
      </c>
      <c r="J820" s="24" t="s">
        <v>20</v>
      </c>
      <c r="K820" s="36"/>
    </row>
    <row r="821" ht="31" customHeight="1" spans="1:11">
      <c r="A821" s="19">
        <v>817</v>
      </c>
      <c r="B821" s="19" t="s">
        <v>875</v>
      </c>
      <c r="C821" s="19" t="s">
        <v>902</v>
      </c>
      <c r="D821" s="19" t="s">
        <v>914</v>
      </c>
      <c r="E821" s="48" t="s">
        <v>17</v>
      </c>
      <c r="F821" s="19" t="s">
        <v>18</v>
      </c>
      <c r="G821" s="19" t="s">
        <v>19</v>
      </c>
      <c r="H821" s="46" t="s">
        <v>915</v>
      </c>
      <c r="I821" s="19">
        <f>IF(F821="是",VLOOKUP(G821,[170]Sheet2!A:C,3,FALSE),VLOOKUP(G821,[170]Sheet2!A:B,2,FALSE))</f>
        <v>600</v>
      </c>
      <c r="J821" s="24" t="s">
        <v>20</v>
      </c>
      <c r="K821" s="36"/>
    </row>
    <row r="822" ht="31" customHeight="1" spans="1:11">
      <c r="A822" s="19">
        <v>818</v>
      </c>
      <c r="B822" s="19" t="s">
        <v>875</v>
      </c>
      <c r="C822" s="19" t="s">
        <v>902</v>
      </c>
      <c r="D822" s="19" t="s">
        <v>916</v>
      </c>
      <c r="E822" s="48" t="s">
        <v>17</v>
      </c>
      <c r="F822" s="19" t="s">
        <v>18</v>
      </c>
      <c r="G822" s="19" t="s">
        <v>678</v>
      </c>
      <c r="H822" s="22">
        <v>45474</v>
      </c>
      <c r="I822" s="19">
        <v>800</v>
      </c>
      <c r="J822" s="24" t="s">
        <v>20</v>
      </c>
      <c r="K822" s="36"/>
    </row>
    <row r="823" ht="31" customHeight="1" spans="1:11">
      <c r="A823" s="19">
        <v>819</v>
      </c>
      <c r="B823" s="19" t="s">
        <v>875</v>
      </c>
      <c r="C823" s="19" t="s">
        <v>902</v>
      </c>
      <c r="D823" s="19" t="s">
        <v>917</v>
      </c>
      <c r="E823" s="48" t="s">
        <v>17</v>
      </c>
      <c r="F823" s="19" t="s">
        <v>18</v>
      </c>
      <c r="G823" s="19" t="s">
        <v>19</v>
      </c>
      <c r="H823" s="23">
        <v>45323</v>
      </c>
      <c r="I823" s="19">
        <v>600</v>
      </c>
      <c r="J823" s="24" t="s">
        <v>20</v>
      </c>
      <c r="K823" s="36"/>
    </row>
    <row r="824" ht="31" customHeight="1" spans="1:11">
      <c r="A824" s="19">
        <v>820</v>
      </c>
      <c r="B824" s="19" t="s">
        <v>875</v>
      </c>
      <c r="C824" s="19" t="s">
        <v>902</v>
      </c>
      <c r="D824" s="19" t="s">
        <v>918</v>
      </c>
      <c r="E824" s="48" t="s">
        <v>17</v>
      </c>
      <c r="F824" s="19" t="s">
        <v>18</v>
      </c>
      <c r="G824" s="19" t="s">
        <v>19</v>
      </c>
      <c r="H824" s="22">
        <v>45474</v>
      </c>
      <c r="I824" s="19">
        <v>600</v>
      </c>
      <c r="J824" s="24" t="s">
        <v>20</v>
      </c>
      <c r="K824" s="36"/>
    </row>
    <row r="825" ht="31" customHeight="1" spans="1:11">
      <c r="A825" s="19">
        <v>821</v>
      </c>
      <c r="B825" s="19" t="s">
        <v>875</v>
      </c>
      <c r="C825" s="19" t="s">
        <v>902</v>
      </c>
      <c r="D825" s="19" t="s">
        <v>919</v>
      </c>
      <c r="E825" s="48" t="s">
        <v>17</v>
      </c>
      <c r="F825" s="19" t="s">
        <v>18</v>
      </c>
      <c r="G825" s="19" t="s">
        <v>19</v>
      </c>
      <c r="H825" s="22">
        <v>45474</v>
      </c>
      <c r="I825" s="19">
        <v>600</v>
      </c>
      <c r="J825" s="24" t="s">
        <v>20</v>
      </c>
      <c r="K825" s="36"/>
    </row>
    <row r="826" ht="31" customHeight="1" spans="1:11">
      <c r="A826" s="19">
        <v>822</v>
      </c>
      <c r="B826" s="19" t="s">
        <v>875</v>
      </c>
      <c r="C826" s="19" t="s">
        <v>902</v>
      </c>
      <c r="D826" s="19" t="s">
        <v>920</v>
      </c>
      <c r="E826" s="48" t="s">
        <v>17</v>
      </c>
      <c r="F826" s="19" t="s">
        <v>18</v>
      </c>
      <c r="G826" s="19" t="s">
        <v>19</v>
      </c>
      <c r="H826" s="46" t="s">
        <v>446</v>
      </c>
      <c r="I826" s="19">
        <v>600</v>
      </c>
      <c r="J826" s="24" t="s">
        <v>20</v>
      </c>
      <c r="K826" s="36"/>
    </row>
    <row r="827" ht="31" customHeight="1" spans="1:11">
      <c r="A827" s="19">
        <v>823</v>
      </c>
      <c r="B827" s="19" t="s">
        <v>875</v>
      </c>
      <c r="C827" s="19" t="s">
        <v>902</v>
      </c>
      <c r="D827" s="19" t="s">
        <v>921</v>
      </c>
      <c r="E827" s="48" t="s">
        <v>17</v>
      </c>
      <c r="F827" s="19" t="s">
        <v>18</v>
      </c>
      <c r="G827" s="19" t="s">
        <v>19</v>
      </c>
      <c r="H827" s="23">
        <v>45323</v>
      </c>
      <c r="I827" s="19">
        <v>600</v>
      </c>
      <c r="J827" s="24" t="s">
        <v>20</v>
      </c>
      <c r="K827" s="36"/>
    </row>
    <row r="828" ht="31" customHeight="1" spans="1:11">
      <c r="A828" s="19">
        <v>824</v>
      </c>
      <c r="B828" s="19" t="s">
        <v>875</v>
      </c>
      <c r="C828" s="19" t="s">
        <v>902</v>
      </c>
      <c r="D828" s="19" t="s">
        <v>922</v>
      </c>
      <c r="E828" s="31" t="s">
        <v>17</v>
      </c>
      <c r="F828" s="19" t="s">
        <v>18</v>
      </c>
      <c r="G828" s="19" t="s">
        <v>19</v>
      </c>
      <c r="H828" s="23">
        <v>45323</v>
      </c>
      <c r="I828" s="19">
        <v>600</v>
      </c>
      <c r="J828" s="24" t="s">
        <v>20</v>
      </c>
      <c r="K828" s="36"/>
    </row>
    <row r="829" ht="31" customHeight="1" spans="1:11">
      <c r="A829" s="19">
        <v>825</v>
      </c>
      <c r="B829" s="19" t="s">
        <v>875</v>
      </c>
      <c r="C829" s="19" t="s">
        <v>902</v>
      </c>
      <c r="D829" s="19" t="s">
        <v>923</v>
      </c>
      <c r="E829" s="21" t="s">
        <v>17</v>
      </c>
      <c r="F829" s="19" t="s">
        <v>18</v>
      </c>
      <c r="G829" s="20" t="s">
        <v>19</v>
      </c>
      <c r="H829" s="23">
        <v>45292</v>
      </c>
      <c r="I829" s="19">
        <f>IF(F829="是",VLOOKUP(G829,[3]Sheet2!A:C,3,FALSE),VLOOKUP(G829,[3]Sheet2!A:B,2,FALSE))</f>
        <v>600</v>
      </c>
      <c r="J829" s="24" t="s">
        <v>20</v>
      </c>
      <c r="K829" s="36"/>
    </row>
    <row r="830" ht="31" customHeight="1" spans="1:11">
      <c r="A830" s="19">
        <v>826</v>
      </c>
      <c r="B830" s="19" t="s">
        <v>875</v>
      </c>
      <c r="C830" s="19" t="s">
        <v>902</v>
      </c>
      <c r="D830" s="19" t="s">
        <v>924</v>
      </c>
      <c r="E830" s="21" t="s">
        <v>17</v>
      </c>
      <c r="F830" s="19" t="s">
        <v>18</v>
      </c>
      <c r="G830" s="20" t="s">
        <v>19</v>
      </c>
      <c r="H830" s="23">
        <v>45292</v>
      </c>
      <c r="I830" s="19">
        <f>IF(F830="是",VLOOKUP(G830,[3]Sheet2!A:C,3,FALSE),VLOOKUP(G830,[3]Sheet2!A:B,2,FALSE))</f>
        <v>600</v>
      </c>
      <c r="J830" s="24" t="s">
        <v>20</v>
      </c>
      <c r="K830" s="36"/>
    </row>
    <row r="831" ht="31" customHeight="1" spans="1:11">
      <c r="A831" s="19">
        <v>827</v>
      </c>
      <c r="B831" s="19" t="s">
        <v>875</v>
      </c>
      <c r="C831" s="19" t="s">
        <v>902</v>
      </c>
      <c r="D831" s="19" t="s">
        <v>925</v>
      </c>
      <c r="E831" s="48" t="s">
        <v>17</v>
      </c>
      <c r="F831" s="19" t="s">
        <v>18</v>
      </c>
      <c r="G831" s="20" t="s">
        <v>19</v>
      </c>
      <c r="H831" s="23">
        <v>45323</v>
      </c>
      <c r="I831" s="19">
        <v>600</v>
      </c>
      <c r="J831" s="24" t="s">
        <v>20</v>
      </c>
      <c r="K831" s="36"/>
    </row>
    <row r="832" ht="31" customHeight="1" spans="1:11">
      <c r="A832" s="19">
        <v>828</v>
      </c>
      <c r="B832" s="19" t="s">
        <v>875</v>
      </c>
      <c r="C832" s="19" t="s">
        <v>902</v>
      </c>
      <c r="D832" s="19" t="s">
        <v>926</v>
      </c>
      <c r="E832" s="48" t="s">
        <v>17</v>
      </c>
      <c r="F832" s="19" t="s">
        <v>18</v>
      </c>
      <c r="G832" s="20" t="s">
        <v>19</v>
      </c>
      <c r="H832" s="23">
        <v>45323</v>
      </c>
      <c r="I832" s="19">
        <v>600</v>
      </c>
      <c r="J832" s="24" t="s">
        <v>20</v>
      </c>
      <c r="K832" s="36"/>
    </row>
    <row r="833" ht="31" customHeight="1" spans="1:11">
      <c r="A833" s="19">
        <v>829</v>
      </c>
      <c r="B833" s="19" t="s">
        <v>875</v>
      </c>
      <c r="C833" s="19" t="s">
        <v>902</v>
      </c>
      <c r="D833" s="19" t="s">
        <v>927</v>
      </c>
      <c r="E833" s="21" t="s">
        <v>17</v>
      </c>
      <c r="F833" s="19" t="s">
        <v>18</v>
      </c>
      <c r="G833" s="19" t="s">
        <v>98</v>
      </c>
      <c r="H833" s="22">
        <v>45474</v>
      </c>
      <c r="I833" s="19">
        <v>800</v>
      </c>
      <c r="J833" s="24" t="s">
        <v>20</v>
      </c>
      <c r="K833" s="36"/>
    </row>
    <row r="834" ht="31" customHeight="1" spans="1:11">
      <c r="A834" s="19">
        <v>830</v>
      </c>
      <c r="B834" s="20" t="s">
        <v>928</v>
      </c>
      <c r="C834" s="20" t="s">
        <v>929</v>
      </c>
      <c r="D834" s="20" t="s">
        <v>930</v>
      </c>
      <c r="E834" s="21" t="s">
        <v>17</v>
      </c>
      <c r="F834" s="20" t="s">
        <v>18</v>
      </c>
      <c r="G834" s="20" t="s">
        <v>19</v>
      </c>
      <c r="H834" s="50">
        <v>45388</v>
      </c>
      <c r="I834" s="19">
        <v>600</v>
      </c>
      <c r="J834" s="24" t="s">
        <v>20</v>
      </c>
      <c r="K834" s="36"/>
    </row>
    <row r="835" ht="31" customHeight="1" spans="1:11">
      <c r="A835" s="19">
        <v>831</v>
      </c>
      <c r="B835" s="20" t="s">
        <v>928</v>
      </c>
      <c r="C835" s="20" t="s">
        <v>929</v>
      </c>
      <c r="D835" s="20" t="s">
        <v>931</v>
      </c>
      <c r="E835" s="21" t="s">
        <v>17</v>
      </c>
      <c r="F835" s="20" t="s">
        <v>18</v>
      </c>
      <c r="G835" s="20" t="s">
        <v>19</v>
      </c>
      <c r="H835" s="50">
        <v>45336</v>
      </c>
      <c r="I835" s="19">
        <v>600</v>
      </c>
      <c r="J835" s="24" t="s">
        <v>20</v>
      </c>
      <c r="K835" s="36"/>
    </row>
    <row r="836" ht="31" customHeight="1" spans="1:11">
      <c r="A836" s="19">
        <v>832</v>
      </c>
      <c r="B836" s="20" t="s">
        <v>928</v>
      </c>
      <c r="C836" s="20" t="s">
        <v>929</v>
      </c>
      <c r="D836" s="20" t="s">
        <v>932</v>
      </c>
      <c r="E836" s="21" t="s">
        <v>17</v>
      </c>
      <c r="F836" s="20" t="s">
        <v>18</v>
      </c>
      <c r="G836" s="20" t="s">
        <v>19</v>
      </c>
      <c r="H836" s="50">
        <v>45350</v>
      </c>
      <c r="I836" s="19">
        <v>600</v>
      </c>
      <c r="J836" s="24" t="s">
        <v>20</v>
      </c>
      <c r="K836" s="36"/>
    </row>
    <row r="837" ht="31" customHeight="1" spans="1:11">
      <c r="A837" s="19">
        <v>833</v>
      </c>
      <c r="B837" s="20" t="s">
        <v>928</v>
      </c>
      <c r="C837" s="20" t="s">
        <v>929</v>
      </c>
      <c r="D837" s="20" t="s">
        <v>933</v>
      </c>
      <c r="E837" s="21" t="s">
        <v>17</v>
      </c>
      <c r="F837" s="20" t="s">
        <v>18</v>
      </c>
      <c r="G837" s="20" t="s">
        <v>19</v>
      </c>
      <c r="H837" s="50">
        <v>45348</v>
      </c>
      <c r="I837" s="19">
        <v>600</v>
      </c>
      <c r="J837" s="24" t="s">
        <v>20</v>
      </c>
      <c r="K837" s="36"/>
    </row>
    <row r="838" ht="31" customHeight="1" spans="1:11">
      <c r="A838" s="19">
        <v>834</v>
      </c>
      <c r="B838" s="20" t="s">
        <v>928</v>
      </c>
      <c r="C838" s="20" t="s">
        <v>929</v>
      </c>
      <c r="D838" s="20" t="s">
        <v>934</v>
      </c>
      <c r="E838" s="21" t="s">
        <v>17</v>
      </c>
      <c r="F838" s="20" t="s">
        <v>18</v>
      </c>
      <c r="G838" s="20" t="s">
        <v>19</v>
      </c>
      <c r="H838" s="50">
        <v>45348</v>
      </c>
      <c r="I838" s="19">
        <v>600</v>
      </c>
      <c r="J838" s="24" t="s">
        <v>20</v>
      </c>
      <c r="K838" s="36"/>
    </row>
    <row r="839" ht="31" customHeight="1" spans="1:11">
      <c r="A839" s="19">
        <v>835</v>
      </c>
      <c r="B839" s="20" t="s">
        <v>928</v>
      </c>
      <c r="C839" s="20" t="s">
        <v>929</v>
      </c>
      <c r="D839" s="20" t="s">
        <v>935</v>
      </c>
      <c r="E839" s="21" t="s">
        <v>17</v>
      </c>
      <c r="F839" s="20" t="s">
        <v>18</v>
      </c>
      <c r="G839" s="20" t="s">
        <v>19</v>
      </c>
      <c r="H839" s="50">
        <v>45348</v>
      </c>
      <c r="I839" s="19">
        <v>600</v>
      </c>
      <c r="J839" s="24" t="s">
        <v>20</v>
      </c>
      <c r="K839" s="36"/>
    </row>
    <row r="840" ht="31" customHeight="1" spans="1:11">
      <c r="A840" s="19">
        <v>836</v>
      </c>
      <c r="B840" s="20" t="s">
        <v>928</v>
      </c>
      <c r="C840" s="20" t="s">
        <v>929</v>
      </c>
      <c r="D840" s="20" t="s">
        <v>936</v>
      </c>
      <c r="E840" s="21" t="s">
        <v>17</v>
      </c>
      <c r="F840" s="20" t="s">
        <v>18</v>
      </c>
      <c r="G840" s="20" t="s">
        <v>19</v>
      </c>
      <c r="H840" s="50">
        <v>45352</v>
      </c>
      <c r="I840" s="19">
        <v>600</v>
      </c>
      <c r="J840" s="24" t="s">
        <v>20</v>
      </c>
      <c r="K840" s="36"/>
    </row>
    <row r="841" ht="31" customHeight="1" spans="1:11">
      <c r="A841" s="19">
        <v>837</v>
      </c>
      <c r="B841" s="20" t="s">
        <v>928</v>
      </c>
      <c r="C841" s="20" t="s">
        <v>929</v>
      </c>
      <c r="D841" s="20" t="s">
        <v>937</v>
      </c>
      <c r="E841" s="21" t="s">
        <v>17</v>
      </c>
      <c r="F841" s="20" t="s">
        <v>18</v>
      </c>
      <c r="G841" s="20" t="s">
        <v>19</v>
      </c>
      <c r="H841" s="50">
        <v>45387</v>
      </c>
      <c r="I841" s="19">
        <v>600</v>
      </c>
      <c r="J841" s="24" t="s">
        <v>20</v>
      </c>
      <c r="K841" s="36"/>
    </row>
    <row r="842" ht="31" customHeight="1" spans="1:11">
      <c r="A842" s="19">
        <v>838</v>
      </c>
      <c r="B842" s="20" t="s">
        <v>928</v>
      </c>
      <c r="C842" s="20" t="s">
        <v>929</v>
      </c>
      <c r="D842" s="20" t="s">
        <v>938</v>
      </c>
      <c r="E842" s="21" t="s">
        <v>17</v>
      </c>
      <c r="F842" s="20" t="s">
        <v>18</v>
      </c>
      <c r="G842" s="20" t="s">
        <v>19</v>
      </c>
      <c r="H842" s="50">
        <v>45420</v>
      </c>
      <c r="I842" s="19">
        <v>600</v>
      </c>
      <c r="J842" s="24" t="s">
        <v>20</v>
      </c>
      <c r="K842" s="36"/>
    </row>
    <row r="843" ht="31" customHeight="1" spans="1:11">
      <c r="A843" s="19">
        <v>839</v>
      </c>
      <c r="B843" s="20" t="s">
        <v>928</v>
      </c>
      <c r="C843" s="20" t="s">
        <v>929</v>
      </c>
      <c r="D843" s="20" t="s">
        <v>939</v>
      </c>
      <c r="E843" s="21" t="s">
        <v>17</v>
      </c>
      <c r="F843" s="20" t="s">
        <v>18</v>
      </c>
      <c r="G843" s="20" t="s">
        <v>19</v>
      </c>
      <c r="H843" s="50">
        <v>45352</v>
      </c>
      <c r="I843" s="19">
        <v>600</v>
      </c>
      <c r="J843" s="24" t="s">
        <v>20</v>
      </c>
      <c r="K843" s="36"/>
    </row>
    <row r="844" ht="31" customHeight="1" spans="1:11">
      <c r="A844" s="19">
        <v>840</v>
      </c>
      <c r="B844" s="20" t="s">
        <v>928</v>
      </c>
      <c r="C844" s="20" t="s">
        <v>940</v>
      </c>
      <c r="D844" s="20" t="s">
        <v>941</v>
      </c>
      <c r="E844" s="21" t="s">
        <v>17</v>
      </c>
      <c r="F844" s="20" t="s">
        <v>18</v>
      </c>
      <c r="G844" s="20" t="s">
        <v>19</v>
      </c>
      <c r="H844" s="50">
        <v>45474</v>
      </c>
      <c r="I844" s="19">
        <v>600</v>
      </c>
      <c r="J844" s="24" t="s">
        <v>20</v>
      </c>
      <c r="K844" s="36"/>
    </row>
    <row r="845" ht="31" customHeight="1" spans="1:11">
      <c r="A845" s="19">
        <v>841</v>
      </c>
      <c r="B845" s="20" t="s">
        <v>928</v>
      </c>
      <c r="C845" s="20" t="s">
        <v>940</v>
      </c>
      <c r="D845" s="20" t="s">
        <v>942</v>
      </c>
      <c r="E845" s="21" t="s">
        <v>17</v>
      </c>
      <c r="F845" s="20" t="s">
        <v>18</v>
      </c>
      <c r="G845" s="20" t="s">
        <v>19</v>
      </c>
      <c r="H845" s="50">
        <v>45392</v>
      </c>
      <c r="I845" s="19">
        <v>600</v>
      </c>
      <c r="J845" s="24" t="s">
        <v>20</v>
      </c>
      <c r="K845" s="36"/>
    </row>
    <row r="846" ht="31" customHeight="1" spans="1:11">
      <c r="A846" s="19">
        <v>842</v>
      </c>
      <c r="B846" s="20" t="s">
        <v>928</v>
      </c>
      <c r="C846" s="20" t="s">
        <v>940</v>
      </c>
      <c r="D846" s="20" t="s">
        <v>943</v>
      </c>
      <c r="E846" s="21" t="s">
        <v>17</v>
      </c>
      <c r="F846" s="20" t="s">
        <v>18</v>
      </c>
      <c r="G846" s="20" t="s">
        <v>19</v>
      </c>
      <c r="H846" s="50">
        <v>45340</v>
      </c>
      <c r="I846" s="19">
        <v>600</v>
      </c>
      <c r="J846" s="24" t="s">
        <v>20</v>
      </c>
      <c r="K846" s="36"/>
    </row>
    <row r="847" ht="31" customHeight="1" spans="1:11">
      <c r="A847" s="19">
        <v>843</v>
      </c>
      <c r="B847" s="20" t="s">
        <v>928</v>
      </c>
      <c r="C847" s="20" t="s">
        <v>940</v>
      </c>
      <c r="D847" s="20" t="s">
        <v>944</v>
      </c>
      <c r="E847" s="21" t="s">
        <v>17</v>
      </c>
      <c r="F847" s="20" t="s">
        <v>18</v>
      </c>
      <c r="G847" s="20" t="s">
        <v>19</v>
      </c>
      <c r="H847" s="50">
        <v>45347</v>
      </c>
      <c r="I847" s="19">
        <v>600</v>
      </c>
      <c r="J847" s="24" t="s">
        <v>20</v>
      </c>
      <c r="K847" s="36"/>
    </row>
    <row r="848" ht="31" customHeight="1" spans="1:11">
      <c r="A848" s="19">
        <v>844</v>
      </c>
      <c r="B848" s="20" t="s">
        <v>928</v>
      </c>
      <c r="C848" s="20" t="s">
        <v>940</v>
      </c>
      <c r="D848" s="20" t="s">
        <v>945</v>
      </c>
      <c r="E848" s="21" t="s">
        <v>17</v>
      </c>
      <c r="F848" s="20" t="s">
        <v>18</v>
      </c>
      <c r="G848" s="20" t="s">
        <v>19</v>
      </c>
      <c r="H848" s="50">
        <v>45312</v>
      </c>
      <c r="I848" s="19">
        <v>600</v>
      </c>
      <c r="J848" s="24" t="s">
        <v>20</v>
      </c>
      <c r="K848" s="36"/>
    </row>
    <row r="849" ht="31" customHeight="1" spans="1:11">
      <c r="A849" s="19">
        <v>845</v>
      </c>
      <c r="B849" s="20" t="s">
        <v>928</v>
      </c>
      <c r="C849" s="20" t="s">
        <v>940</v>
      </c>
      <c r="D849" s="20" t="s">
        <v>946</v>
      </c>
      <c r="E849" s="21" t="s">
        <v>17</v>
      </c>
      <c r="F849" s="20" t="s">
        <v>18</v>
      </c>
      <c r="G849" s="20" t="s">
        <v>29</v>
      </c>
      <c r="H849" s="50">
        <v>45338</v>
      </c>
      <c r="I849" s="19">
        <v>800</v>
      </c>
      <c r="J849" s="24" t="s">
        <v>20</v>
      </c>
      <c r="K849" s="36"/>
    </row>
    <row r="850" ht="31" customHeight="1" spans="1:11">
      <c r="A850" s="19">
        <v>846</v>
      </c>
      <c r="B850" s="20" t="s">
        <v>928</v>
      </c>
      <c r="C850" s="20" t="s">
        <v>940</v>
      </c>
      <c r="D850" s="20" t="s">
        <v>947</v>
      </c>
      <c r="E850" s="21" t="s">
        <v>17</v>
      </c>
      <c r="F850" s="20" t="s">
        <v>18</v>
      </c>
      <c r="G850" s="20" t="s">
        <v>19</v>
      </c>
      <c r="H850" s="50">
        <v>45352</v>
      </c>
      <c r="I850" s="19">
        <v>600</v>
      </c>
      <c r="J850" s="24" t="s">
        <v>20</v>
      </c>
      <c r="K850" s="36"/>
    </row>
    <row r="851" ht="31" customHeight="1" spans="1:11">
      <c r="A851" s="19">
        <v>847</v>
      </c>
      <c r="B851" s="20" t="s">
        <v>928</v>
      </c>
      <c r="C851" s="20" t="s">
        <v>940</v>
      </c>
      <c r="D851" s="20" t="s">
        <v>948</v>
      </c>
      <c r="E851" s="21" t="s">
        <v>17</v>
      </c>
      <c r="F851" s="20" t="s">
        <v>18</v>
      </c>
      <c r="G851" s="20" t="s">
        <v>98</v>
      </c>
      <c r="H851" s="50">
        <v>45445</v>
      </c>
      <c r="I851" s="19">
        <v>800</v>
      </c>
      <c r="J851" s="24" t="s">
        <v>20</v>
      </c>
      <c r="K851" s="36"/>
    </row>
    <row r="852" ht="31" customHeight="1" spans="1:11">
      <c r="A852" s="19">
        <v>848</v>
      </c>
      <c r="B852" s="20" t="s">
        <v>928</v>
      </c>
      <c r="C852" s="20" t="s">
        <v>940</v>
      </c>
      <c r="D852" s="20" t="s">
        <v>949</v>
      </c>
      <c r="E852" s="21" t="s">
        <v>17</v>
      </c>
      <c r="F852" s="20" t="s">
        <v>18</v>
      </c>
      <c r="G852" s="20" t="s">
        <v>19</v>
      </c>
      <c r="H852" s="50">
        <v>45323</v>
      </c>
      <c r="I852" s="19">
        <v>600</v>
      </c>
      <c r="J852" s="24" t="s">
        <v>20</v>
      </c>
      <c r="K852" s="36"/>
    </row>
    <row r="853" ht="31" customHeight="1" spans="1:11">
      <c r="A853" s="19">
        <v>849</v>
      </c>
      <c r="B853" s="20" t="s">
        <v>928</v>
      </c>
      <c r="C853" s="20" t="s">
        <v>940</v>
      </c>
      <c r="D853" s="20" t="s">
        <v>950</v>
      </c>
      <c r="E853" s="21" t="s">
        <v>17</v>
      </c>
      <c r="F853" s="20" t="s">
        <v>18</v>
      </c>
      <c r="G853" s="20" t="s">
        <v>19</v>
      </c>
      <c r="H853" s="50">
        <v>45352</v>
      </c>
      <c r="I853" s="19">
        <v>600</v>
      </c>
      <c r="J853" s="24" t="s">
        <v>20</v>
      </c>
      <c r="K853" s="36"/>
    </row>
    <row r="854" ht="31" customHeight="1" spans="1:11">
      <c r="A854" s="19">
        <v>850</v>
      </c>
      <c r="B854" s="20" t="s">
        <v>928</v>
      </c>
      <c r="C854" s="20" t="s">
        <v>940</v>
      </c>
      <c r="D854" s="20" t="s">
        <v>951</v>
      </c>
      <c r="E854" s="21" t="s">
        <v>17</v>
      </c>
      <c r="F854" s="20" t="s">
        <v>18</v>
      </c>
      <c r="G854" s="20" t="s">
        <v>19</v>
      </c>
      <c r="H854" s="50">
        <v>45323</v>
      </c>
      <c r="I854" s="19">
        <v>600</v>
      </c>
      <c r="J854" s="24" t="s">
        <v>20</v>
      </c>
      <c r="K854" s="36"/>
    </row>
    <row r="855" ht="31" customHeight="1" spans="1:11">
      <c r="A855" s="19">
        <v>851</v>
      </c>
      <c r="B855" s="20" t="s">
        <v>928</v>
      </c>
      <c r="C855" s="20" t="s">
        <v>940</v>
      </c>
      <c r="D855" s="20" t="s">
        <v>952</v>
      </c>
      <c r="E855" s="21" t="s">
        <v>17</v>
      </c>
      <c r="F855" s="20" t="s">
        <v>18</v>
      </c>
      <c r="G855" s="20" t="s">
        <v>19</v>
      </c>
      <c r="H855" s="50">
        <v>45383</v>
      </c>
      <c r="I855" s="19">
        <v>600</v>
      </c>
      <c r="J855" s="24" t="s">
        <v>20</v>
      </c>
      <c r="K855" s="36"/>
    </row>
    <row r="856" ht="31" customHeight="1" spans="1:11">
      <c r="A856" s="19">
        <v>852</v>
      </c>
      <c r="B856" s="20" t="s">
        <v>928</v>
      </c>
      <c r="C856" s="20" t="s">
        <v>940</v>
      </c>
      <c r="D856" s="20" t="s">
        <v>953</v>
      </c>
      <c r="E856" s="21" t="s">
        <v>17</v>
      </c>
      <c r="F856" s="20" t="s">
        <v>18</v>
      </c>
      <c r="G856" s="20" t="s">
        <v>19</v>
      </c>
      <c r="H856" s="50">
        <v>45323</v>
      </c>
      <c r="I856" s="19">
        <v>600</v>
      </c>
      <c r="J856" s="24" t="s">
        <v>20</v>
      </c>
      <c r="K856" s="36"/>
    </row>
    <row r="857" ht="31" customHeight="1" spans="1:11">
      <c r="A857" s="19">
        <v>853</v>
      </c>
      <c r="B857" s="20" t="s">
        <v>928</v>
      </c>
      <c r="C857" s="20" t="s">
        <v>940</v>
      </c>
      <c r="D857" s="20" t="s">
        <v>954</v>
      </c>
      <c r="E857" s="21" t="s">
        <v>17</v>
      </c>
      <c r="F857" s="20" t="s">
        <v>18</v>
      </c>
      <c r="G857" s="20" t="s">
        <v>19</v>
      </c>
      <c r="H857" s="50">
        <v>45292</v>
      </c>
      <c r="I857" s="19">
        <v>600</v>
      </c>
      <c r="J857" s="24" t="s">
        <v>20</v>
      </c>
      <c r="K857" s="36"/>
    </row>
    <row r="858" ht="31" customHeight="1" spans="1:11">
      <c r="A858" s="19">
        <v>854</v>
      </c>
      <c r="B858" s="20" t="s">
        <v>928</v>
      </c>
      <c r="C858" s="20" t="s">
        <v>955</v>
      </c>
      <c r="D858" s="20" t="s">
        <v>956</v>
      </c>
      <c r="E858" s="21" t="s">
        <v>17</v>
      </c>
      <c r="F858" s="20" t="s">
        <v>18</v>
      </c>
      <c r="G858" s="20" t="s">
        <v>19</v>
      </c>
      <c r="H858" s="50">
        <v>45347</v>
      </c>
      <c r="I858" s="19">
        <v>600</v>
      </c>
      <c r="J858" s="24" t="s">
        <v>20</v>
      </c>
      <c r="K858" s="36"/>
    </row>
    <row r="859" ht="31" customHeight="1" spans="1:11">
      <c r="A859" s="19">
        <v>855</v>
      </c>
      <c r="B859" s="20" t="s">
        <v>928</v>
      </c>
      <c r="C859" s="20" t="s">
        <v>955</v>
      </c>
      <c r="D859" s="20" t="s">
        <v>957</v>
      </c>
      <c r="E859" s="21" t="s">
        <v>17</v>
      </c>
      <c r="F859" s="20" t="s">
        <v>18</v>
      </c>
      <c r="G859" s="20" t="s">
        <v>19</v>
      </c>
      <c r="H859" s="50">
        <v>45347</v>
      </c>
      <c r="I859" s="19">
        <v>600</v>
      </c>
      <c r="J859" s="24" t="s">
        <v>20</v>
      </c>
      <c r="K859" s="36"/>
    </row>
    <row r="860" ht="31" customHeight="1" spans="1:11">
      <c r="A860" s="19">
        <v>856</v>
      </c>
      <c r="B860" s="20" t="s">
        <v>928</v>
      </c>
      <c r="C860" s="20" t="s">
        <v>955</v>
      </c>
      <c r="D860" s="20" t="s">
        <v>958</v>
      </c>
      <c r="E860" s="21" t="s">
        <v>17</v>
      </c>
      <c r="F860" s="20" t="s">
        <v>18</v>
      </c>
      <c r="G860" s="20" t="s">
        <v>19</v>
      </c>
      <c r="H860" s="50">
        <v>45347</v>
      </c>
      <c r="I860" s="19">
        <v>600</v>
      </c>
      <c r="J860" s="24" t="s">
        <v>20</v>
      </c>
      <c r="K860" s="36"/>
    </row>
    <row r="861" ht="31" customHeight="1" spans="1:11">
      <c r="A861" s="19">
        <v>857</v>
      </c>
      <c r="B861" s="20" t="s">
        <v>928</v>
      </c>
      <c r="C861" s="20" t="s">
        <v>959</v>
      </c>
      <c r="D861" s="20" t="s">
        <v>960</v>
      </c>
      <c r="E861" s="21" t="s">
        <v>17</v>
      </c>
      <c r="F861" s="20" t="s">
        <v>18</v>
      </c>
      <c r="G861" s="20" t="s">
        <v>32</v>
      </c>
      <c r="H861" s="50">
        <v>45383</v>
      </c>
      <c r="I861" s="19">
        <v>800</v>
      </c>
      <c r="J861" s="24" t="s">
        <v>20</v>
      </c>
      <c r="K861" s="36"/>
    </row>
    <row r="862" ht="31" customHeight="1" spans="1:11">
      <c r="A862" s="19">
        <v>858</v>
      </c>
      <c r="B862" s="20" t="s">
        <v>928</v>
      </c>
      <c r="C862" s="20" t="s">
        <v>959</v>
      </c>
      <c r="D862" s="20" t="s">
        <v>961</v>
      </c>
      <c r="E862" s="21" t="s">
        <v>17</v>
      </c>
      <c r="F862" s="20" t="s">
        <v>18</v>
      </c>
      <c r="G862" s="20" t="s">
        <v>32</v>
      </c>
      <c r="H862" s="50">
        <v>45352</v>
      </c>
      <c r="I862" s="19">
        <v>800</v>
      </c>
      <c r="J862" s="24" t="s">
        <v>20</v>
      </c>
      <c r="K862" s="36"/>
    </row>
    <row r="863" ht="31" customHeight="1" spans="1:11">
      <c r="A863" s="19">
        <v>859</v>
      </c>
      <c r="B863" s="20" t="s">
        <v>928</v>
      </c>
      <c r="C863" s="20" t="s">
        <v>959</v>
      </c>
      <c r="D863" s="20" t="s">
        <v>962</v>
      </c>
      <c r="E863" s="21" t="s">
        <v>17</v>
      </c>
      <c r="F863" s="20" t="s">
        <v>18</v>
      </c>
      <c r="G863" s="20" t="s">
        <v>19</v>
      </c>
      <c r="H863" s="50">
        <v>45323</v>
      </c>
      <c r="I863" s="19">
        <v>600</v>
      </c>
      <c r="J863" s="24" t="s">
        <v>20</v>
      </c>
      <c r="K863" s="36"/>
    </row>
    <row r="864" ht="31" customHeight="1" spans="1:11">
      <c r="A864" s="19">
        <v>860</v>
      </c>
      <c r="B864" s="20" t="s">
        <v>928</v>
      </c>
      <c r="C864" s="20" t="s">
        <v>959</v>
      </c>
      <c r="D864" s="20" t="s">
        <v>963</v>
      </c>
      <c r="E864" s="21" t="s">
        <v>17</v>
      </c>
      <c r="F864" s="20" t="s">
        <v>18</v>
      </c>
      <c r="G864" s="20" t="s">
        <v>19</v>
      </c>
      <c r="H864" s="50">
        <v>45413</v>
      </c>
      <c r="I864" s="19">
        <v>600</v>
      </c>
      <c r="J864" s="24" t="s">
        <v>20</v>
      </c>
      <c r="K864" s="36"/>
    </row>
    <row r="865" ht="31" customHeight="1" spans="1:11">
      <c r="A865" s="19">
        <v>861</v>
      </c>
      <c r="B865" s="20" t="s">
        <v>928</v>
      </c>
      <c r="C865" s="20" t="s">
        <v>959</v>
      </c>
      <c r="D865" s="20" t="s">
        <v>964</v>
      </c>
      <c r="E865" s="21" t="s">
        <v>17</v>
      </c>
      <c r="F865" s="20" t="s">
        <v>18</v>
      </c>
      <c r="G865" s="20" t="s">
        <v>19</v>
      </c>
      <c r="H865" s="50">
        <v>45413</v>
      </c>
      <c r="I865" s="19">
        <v>600</v>
      </c>
      <c r="J865" s="24" t="s">
        <v>20</v>
      </c>
      <c r="K865" s="36"/>
    </row>
    <row r="866" ht="31" customHeight="1" spans="1:11">
      <c r="A866" s="19">
        <v>862</v>
      </c>
      <c r="B866" s="20" t="s">
        <v>928</v>
      </c>
      <c r="C866" s="20" t="s">
        <v>959</v>
      </c>
      <c r="D866" s="20" t="s">
        <v>965</v>
      </c>
      <c r="E866" s="21" t="s">
        <v>17</v>
      </c>
      <c r="F866" s="20" t="s">
        <v>18</v>
      </c>
      <c r="G866" s="20" t="s">
        <v>19</v>
      </c>
      <c r="H866" s="50">
        <v>45413</v>
      </c>
      <c r="I866" s="19">
        <v>600</v>
      </c>
      <c r="J866" s="24" t="s">
        <v>20</v>
      </c>
      <c r="K866" s="36"/>
    </row>
    <row r="867" ht="31" customHeight="1" spans="1:11">
      <c r="A867" s="19">
        <v>863</v>
      </c>
      <c r="B867" s="20" t="s">
        <v>928</v>
      </c>
      <c r="C867" s="20" t="s">
        <v>959</v>
      </c>
      <c r="D867" s="20" t="s">
        <v>966</v>
      </c>
      <c r="E867" s="21" t="s">
        <v>17</v>
      </c>
      <c r="F867" s="20" t="s">
        <v>18</v>
      </c>
      <c r="G867" s="20" t="s">
        <v>19</v>
      </c>
      <c r="H867" s="50">
        <v>45292</v>
      </c>
      <c r="I867" s="19">
        <v>600</v>
      </c>
      <c r="J867" s="24" t="s">
        <v>20</v>
      </c>
      <c r="K867" s="36"/>
    </row>
    <row r="868" ht="31" customHeight="1" spans="1:11">
      <c r="A868" s="19">
        <v>864</v>
      </c>
      <c r="B868" s="20" t="s">
        <v>928</v>
      </c>
      <c r="C868" s="20" t="s">
        <v>959</v>
      </c>
      <c r="D868" s="20" t="s">
        <v>967</v>
      </c>
      <c r="E868" s="21" t="s">
        <v>17</v>
      </c>
      <c r="F868" s="20" t="s">
        <v>18</v>
      </c>
      <c r="G868" s="20" t="s">
        <v>19</v>
      </c>
      <c r="H868" s="50">
        <v>45323</v>
      </c>
      <c r="I868" s="19">
        <v>600</v>
      </c>
      <c r="J868" s="24" t="s">
        <v>20</v>
      </c>
      <c r="K868" s="36"/>
    </row>
    <row r="869" ht="31" customHeight="1" spans="1:11">
      <c r="A869" s="19">
        <v>865</v>
      </c>
      <c r="B869" s="20" t="s">
        <v>928</v>
      </c>
      <c r="C869" s="20" t="s">
        <v>959</v>
      </c>
      <c r="D869" s="20" t="s">
        <v>968</v>
      </c>
      <c r="E869" s="21" t="s">
        <v>17</v>
      </c>
      <c r="F869" s="20" t="s">
        <v>18</v>
      </c>
      <c r="G869" s="20" t="s">
        <v>19</v>
      </c>
      <c r="H869" s="50">
        <v>45323</v>
      </c>
      <c r="I869" s="19">
        <v>600</v>
      </c>
      <c r="J869" s="24" t="s">
        <v>20</v>
      </c>
      <c r="K869" s="36"/>
    </row>
    <row r="870" ht="31" customHeight="1" spans="1:11">
      <c r="A870" s="19">
        <v>866</v>
      </c>
      <c r="B870" s="20" t="s">
        <v>928</v>
      </c>
      <c r="C870" s="20" t="s">
        <v>959</v>
      </c>
      <c r="D870" s="20" t="s">
        <v>969</v>
      </c>
      <c r="E870" s="21" t="s">
        <v>17</v>
      </c>
      <c r="F870" s="20" t="s">
        <v>18</v>
      </c>
      <c r="G870" s="20" t="s">
        <v>19</v>
      </c>
      <c r="H870" s="50">
        <v>45292</v>
      </c>
      <c r="I870" s="19">
        <v>600</v>
      </c>
      <c r="J870" s="24" t="s">
        <v>20</v>
      </c>
      <c r="K870" s="36"/>
    </row>
    <row r="871" ht="31" customHeight="1" spans="1:11">
      <c r="A871" s="19">
        <v>867</v>
      </c>
      <c r="B871" s="20" t="s">
        <v>928</v>
      </c>
      <c r="C871" s="20" t="s">
        <v>970</v>
      </c>
      <c r="D871" s="20" t="s">
        <v>971</v>
      </c>
      <c r="E871" s="21" t="s">
        <v>17</v>
      </c>
      <c r="F871" s="20" t="s">
        <v>18</v>
      </c>
      <c r="G871" s="20" t="s">
        <v>19</v>
      </c>
      <c r="H871" s="50">
        <v>45292</v>
      </c>
      <c r="I871" s="19">
        <v>600</v>
      </c>
      <c r="J871" s="24" t="s">
        <v>20</v>
      </c>
      <c r="K871" s="36"/>
    </row>
    <row r="872" ht="31" customHeight="1" spans="1:11">
      <c r="A872" s="19">
        <v>868</v>
      </c>
      <c r="B872" s="20" t="s">
        <v>928</v>
      </c>
      <c r="C872" s="20" t="s">
        <v>970</v>
      </c>
      <c r="D872" s="20" t="s">
        <v>972</v>
      </c>
      <c r="E872" s="21" t="s">
        <v>17</v>
      </c>
      <c r="F872" s="20" t="s">
        <v>18</v>
      </c>
      <c r="G872" s="20" t="s">
        <v>29</v>
      </c>
      <c r="H872" s="50">
        <v>45352</v>
      </c>
      <c r="I872" s="19">
        <v>800</v>
      </c>
      <c r="J872" s="24" t="s">
        <v>20</v>
      </c>
      <c r="K872" s="36"/>
    </row>
    <row r="873" ht="31" customHeight="1" spans="1:11">
      <c r="A873" s="19">
        <v>869</v>
      </c>
      <c r="B873" s="20" t="s">
        <v>928</v>
      </c>
      <c r="C873" s="20" t="s">
        <v>970</v>
      </c>
      <c r="D873" s="20" t="s">
        <v>973</v>
      </c>
      <c r="E873" s="21" t="s">
        <v>17</v>
      </c>
      <c r="F873" s="20" t="s">
        <v>18</v>
      </c>
      <c r="G873" s="20" t="s">
        <v>29</v>
      </c>
      <c r="H873" s="50">
        <v>45352</v>
      </c>
      <c r="I873" s="19">
        <v>800</v>
      </c>
      <c r="J873" s="24" t="s">
        <v>20</v>
      </c>
      <c r="K873" s="36"/>
    </row>
    <row r="874" ht="31" customHeight="1" spans="1:11">
      <c r="A874" s="19">
        <v>870</v>
      </c>
      <c r="B874" s="20" t="s">
        <v>928</v>
      </c>
      <c r="C874" s="20" t="s">
        <v>970</v>
      </c>
      <c r="D874" s="20" t="s">
        <v>974</v>
      </c>
      <c r="E874" s="21" t="s">
        <v>17</v>
      </c>
      <c r="F874" s="20" t="s">
        <v>18</v>
      </c>
      <c r="G874" s="20" t="s">
        <v>29</v>
      </c>
      <c r="H874" s="50">
        <v>45352</v>
      </c>
      <c r="I874" s="19">
        <v>800</v>
      </c>
      <c r="J874" s="24" t="s">
        <v>20</v>
      </c>
      <c r="K874" s="36"/>
    </row>
    <row r="875" ht="31" customHeight="1" spans="1:11">
      <c r="A875" s="19">
        <v>871</v>
      </c>
      <c r="B875" s="20" t="s">
        <v>928</v>
      </c>
      <c r="C875" s="20" t="s">
        <v>970</v>
      </c>
      <c r="D875" s="20" t="s">
        <v>975</v>
      </c>
      <c r="E875" s="21" t="s">
        <v>17</v>
      </c>
      <c r="F875" s="20" t="s">
        <v>18</v>
      </c>
      <c r="G875" s="20" t="s">
        <v>19</v>
      </c>
      <c r="H875" s="50">
        <v>45323</v>
      </c>
      <c r="I875" s="19">
        <v>600</v>
      </c>
      <c r="J875" s="24" t="s">
        <v>20</v>
      </c>
      <c r="K875" s="36"/>
    </row>
    <row r="876" ht="31" customHeight="1" spans="1:11">
      <c r="A876" s="19">
        <v>872</v>
      </c>
      <c r="B876" s="20" t="s">
        <v>928</v>
      </c>
      <c r="C876" s="20" t="s">
        <v>970</v>
      </c>
      <c r="D876" s="20" t="s">
        <v>976</v>
      </c>
      <c r="E876" s="21" t="s">
        <v>17</v>
      </c>
      <c r="F876" s="20" t="s">
        <v>18</v>
      </c>
      <c r="G876" s="20" t="s">
        <v>19</v>
      </c>
      <c r="H876" s="50">
        <v>45323</v>
      </c>
      <c r="I876" s="19">
        <v>600</v>
      </c>
      <c r="J876" s="24" t="s">
        <v>20</v>
      </c>
      <c r="K876" s="36"/>
    </row>
    <row r="877" ht="31" customHeight="1" spans="1:11">
      <c r="A877" s="19">
        <v>873</v>
      </c>
      <c r="B877" s="20" t="s">
        <v>928</v>
      </c>
      <c r="C877" s="20" t="s">
        <v>970</v>
      </c>
      <c r="D877" s="20" t="s">
        <v>977</v>
      </c>
      <c r="E877" s="21" t="s">
        <v>17</v>
      </c>
      <c r="F877" s="20" t="s">
        <v>18</v>
      </c>
      <c r="G877" s="20" t="s">
        <v>55</v>
      </c>
      <c r="H877" s="50">
        <v>45323</v>
      </c>
      <c r="I877" s="19">
        <v>800</v>
      </c>
      <c r="J877" s="24" t="s">
        <v>20</v>
      </c>
      <c r="K877" s="36"/>
    </row>
    <row r="878" ht="31" customHeight="1" spans="1:11">
      <c r="A878" s="19">
        <v>874</v>
      </c>
      <c r="B878" s="20" t="s">
        <v>928</v>
      </c>
      <c r="C878" s="20" t="s">
        <v>970</v>
      </c>
      <c r="D878" s="20" t="s">
        <v>978</v>
      </c>
      <c r="E878" s="21" t="s">
        <v>17</v>
      </c>
      <c r="F878" s="20" t="s">
        <v>18</v>
      </c>
      <c r="G878" s="20" t="s">
        <v>19</v>
      </c>
      <c r="H878" s="50">
        <v>45383</v>
      </c>
      <c r="I878" s="19">
        <v>600</v>
      </c>
      <c r="J878" s="24" t="s">
        <v>20</v>
      </c>
      <c r="K878" s="36"/>
    </row>
    <row r="879" ht="31" customHeight="1" spans="1:11">
      <c r="A879" s="19">
        <v>875</v>
      </c>
      <c r="B879" s="20" t="s">
        <v>928</v>
      </c>
      <c r="C879" s="20" t="s">
        <v>970</v>
      </c>
      <c r="D879" s="20" t="s">
        <v>979</v>
      </c>
      <c r="E879" s="21" t="s">
        <v>17</v>
      </c>
      <c r="F879" s="20" t="s">
        <v>18</v>
      </c>
      <c r="G879" s="20" t="s">
        <v>19</v>
      </c>
      <c r="H879" s="50">
        <v>45323</v>
      </c>
      <c r="I879" s="19">
        <v>600</v>
      </c>
      <c r="J879" s="24" t="s">
        <v>20</v>
      </c>
      <c r="K879" s="36"/>
    </row>
    <row r="880" ht="31" customHeight="1" spans="1:11">
      <c r="A880" s="19">
        <v>876</v>
      </c>
      <c r="B880" s="20" t="s">
        <v>928</v>
      </c>
      <c r="C880" s="20" t="s">
        <v>970</v>
      </c>
      <c r="D880" s="20" t="s">
        <v>980</v>
      </c>
      <c r="E880" s="21" t="s">
        <v>17</v>
      </c>
      <c r="F880" s="20" t="s">
        <v>18</v>
      </c>
      <c r="G880" s="20" t="s">
        <v>19</v>
      </c>
      <c r="H880" s="50">
        <v>45323</v>
      </c>
      <c r="I880" s="19">
        <v>600</v>
      </c>
      <c r="J880" s="24" t="s">
        <v>20</v>
      </c>
      <c r="K880" s="36"/>
    </row>
    <row r="881" ht="31" customHeight="1" spans="1:11">
      <c r="A881" s="19">
        <v>877</v>
      </c>
      <c r="B881" s="20" t="s">
        <v>928</v>
      </c>
      <c r="C881" s="20" t="s">
        <v>970</v>
      </c>
      <c r="D881" s="20" t="s">
        <v>981</v>
      </c>
      <c r="E881" s="21" t="s">
        <v>17</v>
      </c>
      <c r="F881" s="20" t="s">
        <v>18</v>
      </c>
      <c r="G881" s="20" t="s">
        <v>19</v>
      </c>
      <c r="H881" s="50">
        <v>45352</v>
      </c>
      <c r="I881" s="19">
        <v>600</v>
      </c>
      <c r="J881" s="24" t="s">
        <v>20</v>
      </c>
      <c r="K881" s="36"/>
    </row>
    <row r="882" ht="31" customHeight="1" spans="1:11">
      <c r="A882" s="19">
        <v>878</v>
      </c>
      <c r="B882" s="20" t="s">
        <v>928</v>
      </c>
      <c r="C882" s="20" t="s">
        <v>970</v>
      </c>
      <c r="D882" s="20" t="s">
        <v>982</v>
      </c>
      <c r="E882" s="21" t="s">
        <v>17</v>
      </c>
      <c r="F882" s="20" t="s">
        <v>18</v>
      </c>
      <c r="G882" s="20" t="s">
        <v>19</v>
      </c>
      <c r="H882" s="50">
        <v>45383</v>
      </c>
      <c r="I882" s="19">
        <v>600</v>
      </c>
      <c r="J882" s="24" t="s">
        <v>20</v>
      </c>
      <c r="K882" s="36"/>
    </row>
    <row r="883" ht="31" customHeight="1" spans="1:11">
      <c r="A883" s="19">
        <v>879</v>
      </c>
      <c r="B883" s="20" t="s">
        <v>928</v>
      </c>
      <c r="C883" s="20" t="s">
        <v>970</v>
      </c>
      <c r="D883" s="20" t="s">
        <v>983</v>
      </c>
      <c r="E883" s="21" t="s">
        <v>17</v>
      </c>
      <c r="F883" s="20" t="s">
        <v>18</v>
      </c>
      <c r="G883" s="20" t="s">
        <v>19</v>
      </c>
      <c r="H883" s="50">
        <v>45352</v>
      </c>
      <c r="I883" s="19">
        <v>600</v>
      </c>
      <c r="J883" s="24" t="s">
        <v>20</v>
      </c>
      <c r="K883" s="36"/>
    </row>
    <row r="884" ht="31" customHeight="1" spans="1:11">
      <c r="A884" s="19">
        <v>880</v>
      </c>
      <c r="B884" s="20" t="s">
        <v>928</v>
      </c>
      <c r="C884" s="20" t="s">
        <v>970</v>
      </c>
      <c r="D884" s="20" t="s">
        <v>984</v>
      </c>
      <c r="E884" s="21" t="s">
        <v>17</v>
      </c>
      <c r="F884" s="20" t="s">
        <v>18</v>
      </c>
      <c r="G884" s="20" t="s">
        <v>29</v>
      </c>
      <c r="H884" s="50">
        <v>45352</v>
      </c>
      <c r="I884" s="19">
        <v>800</v>
      </c>
      <c r="J884" s="24" t="s">
        <v>20</v>
      </c>
      <c r="K884" s="36"/>
    </row>
    <row r="885" ht="31" customHeight="1" spans="1:11">
      <c r="A885" s="19">
        <v>881</v>
      </c>
      <c r="B885" s="20" t="s">
        <v>928</v>
      </c>
      <c r="C885" s="20" t="s">
        <v>970</v>
      </c>
      <c r="D885" s="20" t="s">
        <v>985</v>
      </c>
      <c r="E885" s="21" t="s">
        <v>17</v>
      </c>
      <c r="F885" s="20" t="s">
        <v>18</v>
      </c>
      <c r="G885" s="20" t="s">
        <v>29</v>
      </c>
      <c r="H885" s="50">
        <v>45352</v>
      </c>
      <c r="I885" s="19">
        <v>800</v>
      </c>
      <c r="J885" s="24" t="s">
        <v>20</v>
      </c>
      <c r="K885" s="36"/>
    </row>
    <row r="886" ht="31" customHeight="1" spans="1:11">
      <c r="A886" s="19">
        <v>882</v>
      </c>
      <c r="B886" s="20" t="s">
        <v>928</v>
      </c>
      <c r="C886" s="20" t="s">
        <v>970</v>
      </c>
      <c r="D886" s="20" t="s">
        <v>986</v>
      </c>
      <c r="E886" s="21" t="s">
        <v>17</v>
      </c>
      <c r="F886" s="20" t="s">
        <v>18</v>
      </c>
      <c r="G886" s="20" t="s">
        <v>19</v>
      </c>
      <c r="H886" s="50">
        <v>45352</v>
      </c>
      <c r="I886" s="19">
        <v>600</v>
      </c>
      <c r="J886" s="24" t="s">
        <v>20</v>
      </c>
      <c r="K886" s="36"/>
    </row>
    <row r="887" ht="31" customHeight="1" spans="1:11">
      <c r="A887" s="19">
        <v>883</v>
      </c>
      <c r="B887" s="20" t="s">
        <v>928</v>
      </c>
      <c r="C887" s="20" t="s">
        <v>970</v>
      </c>
      <c r="D887" s="20" t="s">
        <v>987</v>
      </c>
      <c r="E887" s="21" t="s">
        <v>17</v>
      </c>
      <c r="F887" s="20" t="s">
        <v>18</v>
      </c>
      <c r="G887" s="20" t="s">
        <v>32</v>
      </c>
      <c r="H887" s="50">
        <v>45352</v>
      </c>
      <c r="I887" s="19">
        <v>800</v>
      </c>
      <c r="J887" s="24" t="s">
        <v>20</v>
      </c>
      <c r="K887" s="36"/>
    </row>
    <row r="888" ht="31" customHeight="1" spans="1:11">
      <c r="A888" s="19">
        <v>884</v>
      </c>
      <c r="B888" s="20" t="s">
        <v>928</v>
      </c>
      <c r="C888" s="20" t="s">
        <v>970</v>
      </c>
      <c r="D888" s="20" t="s">
        <v>988</v>
      </c>
      <c r="E888" s="21" t="s">
        <v>17</v>
      </c>
      <c r="F888" s="20" t="s">
        <v>18</v>
      </c>
      <c r="G888" s="20" t="s">
        <v>19</v>
      </c>
      <c r="H888" s="50">
        <v>45323</v>
      </c>
      <c r="I888" s="19">
        <v>600</v>
      </c>
      <c r="J888" s="24" t="s">
        <v>20</v>
      </c>
      <c r="K888" s="36"/>
    </row>
    <row r="889" ht="31" customHeight="1" spans="1:11">
      <c r="A889" s="19">
        <v>885</v>
      </c>
      <c r="B889" s="20" t="s">
        <v>928</v>
      </c>
      <c r="C889" s="20" t="s">
        <v>970</v>
      </c>
      <c r="D889" s="20" t="s">
        <v>989</v>
      </c>
      <c r="E889" s="21" t="s">
        <v>17</v>
      </c>
      <c r="F889" s="20" t="s">
        <v>18</v>
      </c>
      <c r="G889" s="20" t="s">
        <v>19</v>
      </c>
      <c r="H889" s="50">
        <v>45323</v>
      </c>
      <c r="I889" s="19">
        <v>600</v>
      </c>
      <c r="J889" s="24" t="s">
        <v>20</v>
      </c>
      <c r="K889" s="36"/>
    </row>
    <row r="890" ht="31" customHeight="1" spans="1:11">
      <c r="A890" s="19">
        <v>886</v>
      </c>
      <c r="B890" s="20" t="s">
        <v>928</v>
      </c>
      <c r="C890" s="20" t="s">
        <v>970</v>
      </c>
      <c r="D890" s="20" t="s">
        <v>990</v>
      </c>
      <c r="E890" s="21" t="s">
        <v>17</v>
      </c>
      <c r="F890" s="20" t="s">
        <v>18</v>
      </c>
      <c r="G890" s="20" t="s">
        <v>19</v>
      </c>
      <c r="H890" s="50">
        <v>45352</v>
      </c>
      <c r="I890" s="19">
        <v>600</v>
      </c>
      <c r="J890" s="24" t="s">
        <v>20</v>
      </c>
      <c r="K890" s="36"/>
    </row>
    <row r="891" ht="31" customHeight="1" spans="1:11">
      <c r="A891" s="19">
        <v>887</v>
      </c>
      <c r="B891" s="20" t="s">
        <v>928</v>
      </c>
      <c r="C891" s="20" t="s">
        <v>970</v>
      </c>
      <c r="D891" s="20" t="s">
        <v>991</v>
      </c>
      <c r="E891" s="21" t="s">
        <v>17</v>
      </c>
      <c r="F891" s="20" t="s">
        <v>18</v>
      </c>
      <c r="G891" s="20" t="s">
        <v>19</v>
      </c>
      <c r="H891" s="50">
        <v>45352</v>
      </c>
      <c r="I891" s="19">
        <v>600</v>
      </c>
      <c r="J891" s="24" t="s">
        <v>20</v>
      </c>
      <c r="K891" s="36"/>
    </row>
    <row r="892" ht="31" customHeight="1" spans="1:11">
      <c r="A892" s="19">
        <v>888</v>
      </c>
      <c r="B892" s="20" t="s">
        <v>928</v>
      </c>
      <c r="C892" s="20" t="s">
        <v>970</v>
      </c>
      <c r="D892" s="20" t="s">
        <v>992</v>
      </c>
      <c r="E892" s="21" t="s">
        <v>17</v>
      </c>
      <c r="F892" s="20" t="s">
        <v>18</v>
      </c>
      <c r="G892" s="20" t="s">
        <v>19</v>
      </c>
      <c r="H892" s="50">
        <v>45352</v>
      </c>
      <c r="I892" s="19">
        <v>600</v>
      </c>
      <c r="J892" s="24" t="s">
        <v>20</v>
      </c>
      <c r="K892" s="36"/>
    </row>
    <row r="893" ht="31" customHeight="1" spans="1:11">
      <c r="A893" s="19">
        <v>889</v>
      </c>
      <c r="B893" s="20" t="s">
        <v>928</v>
      </c>
      <c r="C893" s="20" t="s">
        <v>970</v>
      </c>
      <c r="D893" s="20" t="s">
        <v>993</v>
      </c>
      <c r="E893" s="21" t="s">
        <v>17</v>
      </c>
      <c r="F893" s="20" t="s">
        <v>18</v>
      </c>
      <c r="G893" s="20" t="s">
        <v>38</v>
      </c>
      <c r="H893" s="50">
        <v>45352</v>
      </c>
      <c r="I893" s="19">
        <v>600</v>
      </c>
      <c r="J893" s="24" t="s">
        <v>20</v>
      </c>
      <c r="K893" s="36"/>
    </row>
    <row r="894" ht="31" customHeight="1" spans="1:11">
      <c r="A894" s="19">
        <v>890</v>
      </c>
      <c r="B894" s="20" t="s">
        <v>928</v>
      </c>
      <c r="C894" s="20" t="s">
        <v>970</v>
      </c>
      <c r="D894" s="20" t="s">
        <v>994</v>
      </c>
      <c r="E894" s="21" t="s">
        <v>17</v>
      </c>
      <c r="F894" s="20" t="s">
        <v>18</v>
      </c>
      <c r="G894" s="20" t="s">
        <v>19</v>
      </c>
      <c r="H894" s="50">
        <v>45413</v>
      </c>
      <c r="I894" s="19">
        <v>600</v>
      </c>
      <c r="J894" s="24" t="s">
        <v>20</v>
      </c>
      <c r="K894" s="36"/>
    </row>
    <row r="895" ht="31" customHeight="1" spans="1:11">
      <c r="A895" s="19">
        <v>891</v>
      </c>
      <c r="B895" s="20" t="s">
        <v>928</v>
      </c>
      <c r="C895" s="20" t="s">
        <v>970</v>
      </c>
      <c r="D895" s="20" t="s">
        <v>995</v>
      </c>
      <c r="E895" s="21" t="s">
        <v>17</v>
      </c>
      <c r="F895" s="20" t="s">
        <v>18</v>
      </c>
      <c r="G895" s="20" t="s">
        <v>19</v>
      </c>
      <c r="H895" s="50">
        <v>45323</v>
      </c>
      <c r="I895" s="19">
        <v>600</v>
      </c>
      <c r="J895" s="24" t="s">
        <v>20</v>
      </c>
      <c r="K895" s="36"/>
    </row>
    <row r="896" ht="31" customHeight="1" spans="1:11">
      <c r="A896" s="19">
        <v>892</v>
      </c>
      <c r="B896" s="20" t="s">
        <v>928</v>
      </c>
      <c r="C896" s="20" t="s">
        <v>970</v>
      </c>
      <c r="D896" s="20" t="s">
        <v>996</v>
      </c>
      <c r="E896" s="21" t="s">
        <v>17</v>
      </c>
      <c r="F896" s="20" t="s">
        <v>18</v>
      </c>
      <c r="G896" s="20" t="s">
        <v>19</v>
      </c>
      <c r="H896" s="50">
        <v>45323</v>
      </c>
      <c r="I896" s="19">
        <v>600</v>
      </c>
      <c r="J896" s="24" t="s">
        <v>20</v>
      </c>
      <c r="K896" s="36"/>
    </row>
    <row r="897" ht="31" customHeight="1" spans="1:11">
      <c r="A897" s="19">
        <v>893</v>
      </c>
      <c r="B897" s="20" t="s">
        <v>928</v>
      </c>
      <c r="C897" s="20" t="s">
        <v>970</v>
      </c>
      <c r="D897" s="20" t="s">
        <v>997</v>
      </c>
      <c r="E897" s="21" t="s">
        <v>17</v>
      </c>
      <c r="F897" s="20" t="s">
        <v>18</v>
      </c>
      <c r="G897" s="20" t="s">
        <v>19</v>
      </c>
      <c r="H897" s="50">
        <v>45323</v>
      </c>
      <c r="I897" s="19">
        <v>600</v>
      </c>
      <c r="J897" s="24" t="s">
        <v>20</v>
      </c>
      <c r="K897" s="36"/>
    </row>
    <row r="898" ht="31" customHeight="1" spans="1:11">
      <c r="A898" s="19">
        <v>894</v>
      </c>
      <c r="B898" s="20" t="s">
        <v>928</v>
      </c>
      <c r="C898" s="20" t="s">
        <v>970</v>
      </c>
      <c r="D898" s="20" t="s">
        <v>998</v>
      </c>
      <c r="E898" s="21" t="s">
        <v>17</v>
      </c>
      <c r="F898" s="20" t="s">
        <v>18</v>
      </c>
      <c r="G898" s="20" t="s">
        <v>19</v>
      </c>
      <c r="H898" s="50">
        <v>45323</v>
      </c>
      <c r="I898" s="19">
        <v>600</v>
      </c>
      <c r="J898" s="24" t="s">
        <v>20</v>
      </c>
      <c r="K898" s="36"/>
    </row>
    <row r="899" ht="31" customHeight="1" spans="1:11">
      <c r="A899" s="19">
        <v>895</v>
      </c>
      <c r="B899" s="20" t="s">
        <v>928</v>
      </c>
      <c r="C899" s="20" t="s">
        <v>970</v>
      </c>
      <c r="D899" s="20" t="s">
        <v>999</v>
      </c>
      <c r="E899" s="21" t="s">
        <v>17</v>
      </c>
      <c r="F899" s="20" t="s">
        <v>18</v>
      </c>
      <c r="G899" s="20" t="s">
        <v>19</v>
      </c>
      <c r="H899" s="50">
        <v>45323</v>
      </c>
      <c r="I899" s="19">
        <v>600</v>
      </c>
      <c r="J899" s="24" t="s">
        <v>20</v>
      </c>
      <c r="K899" s="36"/>
    </row>
    <row r="900" ht="31" customHeight="1" spans="1:11">
      <c r="A900" s="19">
        <v>896</v>
      </c>
      <c r="B900" s="20" t="s">
        <v>928</v>
      </c>
      <c r="C900" s="20" t="s">
        <v>970</v>
      </c>
      <c r="D900" s="20" t="s">
        <v>1000</v>
      </c>
      <c r="E900" s="21" t="s">
        <v>17</v>
      </c>
      <c r="F900" s="20" t="s">
        <v>18</v>
      </c>
      <c r="G900" s="20" t="s">
        <v>19</v>
      </c>
      <c r="H900" s="50">
        <v>45323</v>
      </c>
      <c r="I900" s="19">
        <v>600</v>
      </c>
      <c r="J900" s="24" t="s">
        <v>20</v>
      </c>
      <c r="K900" s="36"/>
    </row>
    <row r="901" ht="31" customHeight="1" spans="1:11">
      <c r="A901" s="19">
        <v>897</v>
      </c>
      <c r="B901" s="20" t="s">
        <v>928</v>
      </c>
      <c r="C901" s="20" t="s">
        <v>970</v>
      </c>
      <c r="D901" s="20" t="s">
        <v>1001</v>
      </c>
      <c r="E901" s="21" t="s">
        <v>17</v>
      </c>
      <c r="F901" s="20" t="s">
        <v>18</v>
      </c>
      <c r="G901" s="20" t="s">
        <v>19</v>
      </c>
      <c r="H901" s="50">
        <v>45323</v>
      </c>
      <c r="I901" s="19">
        <v>600</v>
      </c>
      <c r="J901" s="24" t="s">
        <v>20</v>
      </c>
      <c r="K901" s="36"/>
    </row>
    <row r="902" ht="31" customHeight="1" spans="1:11">
      <c r="A902" s="19">
        <v>898</v>
      </c>
      <c r="B902" s="20" t="s">
        <v>928</v>
      </c>
      <c r="C902" s="20" t="s">
        <v>970</v>
      </c>
      <c r="D902" s="20" t="s">
        <v>1002</v>
      </c>
      <c r="E902" s="21" t="s">
        <v>17</v>
      </c>
      <c r="F902" s="20" t="s">
        <v>18</v>
      </c>
      <c r="G902" s="20" t="s">
        <v>437</v>
      </c>
      <c r="H902" s="50">
        <v>45323</v>
      </c>
      <c r="I902" s="19">
        <v>800</v>
      </c>
      <c r="J902" s="24" t="s">
        <v>20</v>
      </c>
      <c r="K902" s="36"/>
    </row>
    <row r="903" ht="31" customHeight="1" spans="1:11">
      <c r="A903" s="19">
        <v>899</v>
      </c>
      <c r="B903" s="20" t="s">
        <v>928</v>
      </c>
      <c r="C903" s="20" t="s">
        <v>970</v>
      </c>
      <c r="D903" s="20" t="s">
        <v>1003</v>
      </c>
      <c r="E903" s="21" t="s">
        <v>17</v>
      </c>
      <c r="F903" s="20" t="s">
        <v>18</v>
      </c>
      <c r="G903" s="20" t="s">
        <v>19</v>
      </c>
      <c r="H903" s="50">
        <v>45323</v>
      </c>
      <c r="I903" s="19">
        <v>600</v>
      </c>
      <c r="J903" s="24" t="s">
        <v>20</v>
      </c>
      <c r="K903" s="36"/>
    </row>
    <row r="904" ht="31" customHeight="1" spans="1:11">
      <c r="A904" s="19">
        <v>900</v>
      </c>
      <c r="B904" s="20" t="s">
        <v>928</v>
      </c>
      <c r="C904" s="20" t="s">
        <v>970</v>
      </c>
      <c r="D904" s="20" t="s">
        <v>1004</v>
      </c>
      <c r="E904" s="21" t="s">
        <v>17</v>
      </c>
      <c r="F904" s="20" t="s">
        <v>18</v>
      </c>
      <c r="G904" s="20" t="s">
        <v>19</v>
      </c>
      <c r="H904" s="50">
        <v>45323</v>
      </c>
      <c r="I904" s="19">
        <v>600</v>
      </c>
      <c r="J904" s="24" t="s">
        <v>20</v>
      </c>
      <c r="K904" s="36"/>
    </row>
    <row r="905" ht="31" customHeight="1" spans="1:11">
      <c r="A905" s="19">
        <v>901</v>
      </c>
      <c r="B905" s="20" t="s">
        <v>928</v>
      </c>
      <c r="C905" s="20" t="s">
        <v>970</v>
      </c>
      <c r="D905" s="20" t="s">
        <v>1005</v>
      </c>
      <c r="E905" s="21" t="s">
        <v>17</v>
      </c>
      <c r="F905" s="20" t="s">
        <v>18</v>
      </c>
      <c r="G905" s="20" t="s">
        <v>19</v>
      </c>
      <c r="H905" s="50">
        <v>45323</v>
      </c>
      <c r="I905" s="19">
        <v>600</v>
      </c>
      <c r="J905" s="24" t="s">
        <v>20</v>
      </c>
      <c r="K905" s="36"/>
    </row>
    <row r="906" ht="31" customHeight="1" spans="1:11">
      <c r="A906" s="19">
        <v>902</v>
      </c>
      <c r="B906" s="20" t="s">
        <v>928</v>
      </c>
      <c r="C906" s="20" t="s">
        <v>970</v>
      </c>
      <c r="D906" s="20" t="s">
        <v>1006</v>
      </c>
      <c r="E906" s="21" t="s">
        <v>17</v>
      </c>
      <c r="F906" s="20" t="s">
        <v>18</v>
      </c>
      <c r="G906" s="20" t="s">
        <v>32</v>
      </c>
      <c r="H906" s="50">
        <v>45323</v>
      </c>
      <c r="I906" s="19">
        <v>800</v>
      </c>
      <c r="J906" s="24" t="s">
        <v>20</v>
      </c>
      <c r="K906" s="36"/>
    </row>
    <row r="907" ht="31" customHeight="1" spans="1:11">
      <c r="A907" s="19">
        <v>903</v>
      </c>
      <c r="B907" s="20" t="s">
        <v>928</v>
      </c>
      <c r="C907" s="20" t="s">
        <v>970</v>
      </c>
      <c r="D907" s="20" t="s">
        <v>1007</v>
      </c>
      <c r="E907" s="21" t="s">
        <v>17</v>
      </c>
      <c r="F907" s="20" t="s">
        <v>18</v>
      </c>
      <c r="G907" s="20" t="s">
        <v>32</v>
      </c>
      <c r="H907" s="50">
        <v>45323</v>
      </c>
      <c r="I907" s="19">
        <v>800</v>
      </c>
      <c r="J907" s="24" t="s">
        <v>20</v>
      </c>
      <c r="K907" s="36"/>
    </row>
    <row r="908" ht="31" customHeight="1" spans="1:11">
      <c r="A908" s="19">
        <v>904</v>
      </c>
      <c r="B908" s="20" t="s">
        <v>928</v>
      </c>
      <c r="C908" s="20" t="s">
        <v>970</v>
      </c>
      <c r="D908" s="20" t="s">
        <v>1008</v>
      </c>
      <c r="E908" s="21" t="s">
        <v>17</v>
      </c>
      <c r="F908" s="20" t="s">
        <v>18</v>
      </c>
      <c r="G908" s="20" t="s">
        <v>19</v>
      </c>
      <c r="H908" s="50">
        <v>45323</v>
      </c>
      <c r="I908" s="19">
        <v>600</v>
      </c>
      <c r="J908" s="24" t="s">
        <v>20</v>
      </c>
      <c r="K908" s="36"/>
    </row>
    <row r="909" ht="31" customHeight="1" spans="1:11">
      <c r="A909" s="19">
        <v>905</v>
      </c>
      <c r="B909" s="20" t="s">
        <v>928</v>
      </c>
      <c r="C909" s="20" t="s">
        <v>970</v>
      </c>
      <c r="D909" s="20" t="s">
        <v>1009</v>
      </c>
      <c r="E909" s="21" t="s">
        <v>17</v>
      </c>
      <c r="F909" s="20" t="s">
        <v>18</v>
      </c>
      <c r="G909" s="20" t="s">
        <v>29</v>
      </c>
      <c r="H909" s="50">
        <v>45323</v>
      </c>
      <c r="I909" s="19">
        <v>800</v>
      </c>
      <c r="J909" s="24" t="s">
        <v>20</v>
      </c>
      <c r="K909" s="36"/>
    </row>
    <row r="910" ht="31" customHeight="1" spans="1:11">
      <c r="A910" s="19">
        <v>906</v>
      </c>
      <c r="B910" s="20" t="s">
        <v>928</v>
      </c>
      <c r="C910" s="20" t="s">
        <v>970</v>
      </c>
      <c r="D910" s="20" t="s">
        <v>1010</v>
      </c>
      <c r="E910" s="21" t="s">
        <v>17</v>
      </c>
      <c r="F910" s="20" t="s">
        <v>18</v>
      </c>
      <c r="G910" s="20" t="s">
        <v>19</v>
      </c>
      <c r="H910" s="50">
        <v>45352</v>
      </c>
      <c r="I910" s="19">
        <v>600</v>
      </c>
      <c r="J910" s="24" t="s">
        <v>20</v>
      </c>
      <c r="K910" s="36"/>
    </row>
    <row r="911" ht="31" customHeight="1" spans="1:11">
      <c r="A911" s="19">
        <v>907</v>
      </c>
      <c r="B911" s="20" t="s">
        <v>928</v>
      </c>
      <c r="C911" s="20" t="s">
        <v>970</v>
      </c>
      <c r="D911" s="20" t="s">
        <v>1011</v>
      </c>
      <c r="E911" s="21" t="s">
        <v>17</v>
      </c>
      <c r="F911" s="20" t="s">
        <v>18</v>
      </c>
      <c r="G911" s="20" t="s">
        <v>19</v>
      </c>
      <c r="H911" s="50">
        <v>45323</v>
      </c>
      <c r="I911" s="19">
        <v>600</v>
      </c>
      <c r="J911" s="24" t="s">
        <v>20</v>
      </c>
      <c r="K911" s="36"/>
    </row>
    <row r="912" ht="31" customHeight="1" spans="1:11">
      <c r="A912" s="19">
        <v>908</v>
      </c>
      <c r="B912" s="20" t="s">
        <v>928</v>
      </c>
      <c r="C912" s="20" t="s">
        <v>970</v>
      </c>
      <c r="D912" s="20" t="s">
        <v>1012</v>
      </c>
      <c r="E912" s="21" t="s">
        <v>17</v>
      </c>
      <c r="F912" s="20" t="s">
        <v>18</v>
      </c>
      <c r="G912" s="20" t="s">
        <v>19</v>
      </c>
      <c r="H912" s="50">
        <v>45323</v>
      </c>
      <c r="I912" s="19">
        <v>600</v>
      </c>
      <c r="J912" s="24" t="s">
        <v>20</v>
      </c>
      <c r="K912" s="36"/>
    </row>
    <row r="913" ht="31" customHeight="1" spans="1:11">
      <c r="A913" s="19">
        <v>909</v>
      </c>
      <c r="B913" s="20" t="s">
        <v>928</v>
      </c>
      <c r="C913" s="20" t="s">
        <v>970</v>
      </c>
      <c r="D913" s="20" t="s">
        <v>1013</v>
      </c>
      <c r="E913" s="21" t="s">
        <v>17</v>
      </c>
      <c r="F913" s="20" t="s">
        <v>18</v>
      </c>
      <c r="G913" s="20" t="s">
        <v>19</v>
      </c>
      <c r="H913" s="50">
        <v>45292</v>
      </c>
      <c r="I913" s="19">
        <v>600</v>
      </c>
      <c r="J913" s="24" t="s">
        <v>20</v>
      </c>
      <c r="K913" s="36"/>
    </row>
    <row r="914" ht="31" customHeight="1" spans="1:11">
      <c r="A914" s="19">
        <v>910</v>
      </c>
      <c r="B914" s="20" t="s">
        <v>928</v>
      </c>
      <c r="C914" s="20" t="s">
        <v>970</v>
      </c>
      <c r="D914" s="20" t="s">
        <v>1014</v>
      </c>
      <c r="E914" s="21" t="s">
        <v>17</v>
      </c>
      <c r="F914" s="20" t="s">
        <v>18</v>
      </c>
      <c r="G914" s="20" t="s">
        <v>55</v>
      </c>
      <c r="H914" s="50">
        <v>45323</v>
      </c>
      <c r="I914" s="19">
        <v>800</v>
      </c>
      <c r="J914" s="24" t="s">
        <v>20</v>
      </c>
      <c r="K914" s="36"/>
    </row>
    <row r="915" ht="31" customHeight="1" spans="1:11">
      <c r="A915" s="19">
        <v>911</v>
      </c>
      <c r="B915" s="20" t="s">
        <v>928</v>
      </c>
      <c r="C915" s="20" t="s">
        <v>970</v>
      </c>
      <c r="D915" s="20" t="s">
        <v>1015</v>
      </c>
      <c r="E915" s="21" t="s">
        <v>17</v>
      </c>
      <c r="F915" s="20" t="s">
        <v>18</v>
      </c>
      <c r="G915" s="20" t="s">
        <v>19</v>
      </c>
      <c r="H915" s="50">
        <v>45292</v>
      </c>
      <c r="I915" s="19">
        <v>600</v>
      </c>
      <c r="J915" s="24" t="s">
        <v>20</v>
      </c>
      <c r="K915" s="36"/>
    </row>
    <row r="916" ht="31" customHeight="1" spans="1:11">
      <c r="A916" s="19">
        <v>912</v>
      </c>
      <c r="B916" s="20" t="s">
        <v>928</v>
      </c>
      <c r="C916" s="20" t="s">
        <v>970</v>
      </c>
      <c r="D916" s="20" t="s">
        <v>1016</v>
      </c>
      <c r="E916" s="21" t="s">
        <v>17</v>
      </c>
      <c r="F916" s="20" t="s">
        <v>18</v>
      </c>
      <c r="G916" s="20" t="s">
        <v>32</v>
      </c>
      <c r="H916" s="50">
        <v>45323</v>
      </c>
      <c r="I916" s="19">
        <v>800</v>
      </c>
      <c r="J916" s="24" t="s">
        <v>20</v>
      </c>
      <c r="K916" s="36"/>
    </row>
    <row r="917" ht="31" customHeight="1" spans="1:11">
      <c r="A917" s="19">
        <v>913</v>
      </c>
      <c r="B917" s="20" t="s">
        <v>928</v>
      </c>
      <c r="C917" s="20" t="s">
        <v>970</v>
      </c>
      <c r="D917" s="20" t="s">
        <v>1017</v>
      </c>
      <c r="E917" s="21" t="s">
        <v>17</v>
      </c>
      <c r="F917" s="20" t="s">
        <v>18</v>
      </c>
      <c r="G917" s="20" t="s">
        <v>32</v>
      </c>
      <c r="H917" s="50">
        <v>45323</v>
      </c>
      <c r="I917" s="19">
        <v>800</v>
      </c>
      <c r="J917" s="24" t="s">
        <v>20</v>
      </c>
      <c r="K917" s="36"/>
    </row>
    <row r="918" ht="31" customHeight="1" spans="1:11">
      <c r="A918" s="19">
        <v>914</v>
      </c>
      <c r="B918" s="20" t="s">
        <v>928</v>
      </c>
      <c r="C918" s="20" t="s">
        <v>970</v>
      </c>
      <c r="D918" s="20" t="s">
        <v>1018</v>
      </c>
      <c r="E918" s="21" t="s">
        <v>17</v>
      </c>
      <c r="F918" s="20" t="s">
        <v>18</v>
      </c>
      <c r="G918" s="20" t="s">
        <v>19</v>
      </c>
      <c r="H918" s="50">
        <v>45292</v>
      </c>
      <c r="I918" s="19">
        <v>600</v>
      </c>
      <c r="J918" s="24" t="s">
        <v>20</v>
      </c>
      <c r="K918" s="36"/>
    </row>
    <row r="919" ht="31" customHeight="1" spans="1:11">
      <c r="A919" s="19">
        <v>915</v>
      </c>
      <c r="B919" s="20" t="s">
        <v>928</v>
      </c>
      <c r="C919" s="20" t="s">
        <v>970</v>
      </c>
      <c r="D919" s="20" t="s">
        <v>1019</v>
      </c>
      <c r="E919" s="21" t="s">
        <v>17</v>
      </c>
      <c r="F919" s="20" t="s">
        <v>18</v>
      </c>
      <c r="G919" s="20" t="s">
        <v>19</v>
      </c>
      <c r="H919" s="50">
        <v>45292</v>
      </c>
      <c r="I919" s="19">
        <v>600</v>
      </c>
      <c r="J919" s="24" t="s">
        <v>20</v>
      </c>
      <c r="K919" s="36"/>
    </row>
    <row r="920" ht="31" customHeight="1" spans="1:11">
      <c r="A920" s="19">
        <v>916</v>
      </c>
      <c r="B920" s="20" t="s">
        <v>928</v>
      </c>
      <c r="C920" s="20" t="s">
        <v>970</v>
      </c>
      <c r="D920" s="20" t="s">
        <v>1020</v>
      </c>
      <c r="E920" s="21" t="s">
        <v>17</v>
      </c>
      <c r="F920" s="20" t="s">
        <v>18</v>
      </c>
      <c r="G920" s="20" t="s">
        <v>19</v>
      </c>
      <c r="H920" s="50">
        <v>45352</v>
      </c>
      <c r="I920" s="19">
        <v>600</v>
      </c>
      <c r="J920" s="24" t="s">
        <v>20</v>
      </c>
      <c r="K920" s="36"/>
    </row>
    <row r="921" ht="31" customHeight="1" spans="1:11">
      <c r="A921" s="19">
        <v>917</v>
      </c>
      <c r="B921" s="20" t="s">
        <v>928</v>
      </c>
      <c r="C921" s="20" t="s">
        <v>970</v>
      </c>
      <c r="D921" s="20" t="s">
        <v>1021</v>
      </c>
      <c r="E921" s="21" t="s">
        <v>17</v>
      </c>
      <c r="F921" s="20" t="s">
        <v>18</v>
      </c>
      <c r="G921" s="20" t="s">
        <v>19</v>
      </c>
      <c r="H921" s="50">
        <v>45323</v>
      </c>
      <c r="I921" s="19">
        <v>600</v>
      </c>
      <c r="J921" s="24" t="s">
        <v>20</v>
      </c>
      <c r="K921" s="36"/>
    </row>
    <row r="922" ht="31" customHeight="1" spans="1:11">
      <c r="A922" s="19">
        <v>918</v>
      </c>
      <c r="B922" s="20" t="s">
        <v>928</v>
      </c>
      <c r="C922" s="20" t="s">
        <v>970</v>
      </c>
      <c r="D922" s="20" t="s">
        <v>1022</v>
      </c>
      <c r="E922" s="21" t="s">
        <v>17</v>
      </c>
      <c r="F922" s="20" t="s">
        <v>18</v>
      </c>
      <c r="G922" s="20" t="s">
        <v>19</v>
      </c>
      <c r="H922" s="50">
        <v>45323</v>
      </c>
      <c r="I922" s="19">
        <v>600</v>
      </c>
      <c r="J922" s="24" t="s">
        <v>20</v>
      </c>
      <c r="K922" s="36"/>
    </row>
    <row r="923" ht="31" customHeight="1" spans="1:11">
      <c r="A923" s="19">
        <v>919</v>
      </c>
      <c r="B923" s="20" t="s">
        <v>928</v>
      </c>
      <c r="C923" s="20" t="s">
        <v>970</v>
      </c>
      <c r="D923" s="20" t="s">
        <v>1023</v>
      </c>
      <c r="E923" s="21" t="s">
        <v>17</v>
      </c>
      <c r="F923" s="20" t="s">
        <v>18</v>
      </c>
      <c r="G923" s="20" t="s">
        <v>19</v>
      </c>
      <c r="H923" s="50">
        <v>45352</v>
      </c>
      <c r="I923" s="19">
        <v>600</v>
      </c>
      <c r="J923" s="24" t="s">
        <v>20</v>
      </c>
      <c r="K923" s="36"/>
    </row>
    <row r="924" ht="31" customHeight="1" spans="1:11">
      <c r="A924" s="19">
        <v>920</v>
      </c>
      <c r="B924" s="20" t="s">
        <v>928</v>
      </c>
      <c r="C924" s="20" t="s">
        <v>970</v>
      </c>
      <c r="D924" s="20" t="s">
        <v>1024</v>
      </c>
      <c r="E924" s="21" t="s">
        <v>17</v>
      </c>
      <c r="F924" s="20" t="s">
        <v>18</v>
      </c>
      <c r="G924" s="20" t="s">
        <v>19</v>
      </c>
      <c r="H924" s="50">
        <v>45323</v>
      </c>
      <c r="I924" s="19">
        <v>600</v>
      </c>
      <c r="J924" s="24" t="s">
        <v>20</v>
      </c>
      <c r="K924" s="36"/>
    </row>
    <row r="925" ht="31" customHeight="1" spans="1:11">
      <c r="A925" s="19">
        <v>921</v>
      </c>
      <c r="B925" s="20" t="s">
        <v>928</v>
      </c>
      <c r="C925" s="20" t="s">
        <v>970</v>
      </c>
      <c r="D925" s="20" t="s">
        <v>1025</v>
      </c>
      <c r="E925" s="21" t="s">
        <v>17</v>
      </c>
      <c r="F925" s="20" t="s">
        <v>18</v>
      </c>
      <c r="G925" s="20" t="s">
        <v>32</v>
      </c>
      <c r="H925" s="50">
        <v>45323</v>
      </c>
      <c r="I925" s="19">
        <v>800</v>
      </c>
      <c r="J925" s="24" t="s">
        <v>20</v>
      </c>
      <c r="K925" s="36"/>
    </row>
    <row r="926" ht="31" customHeight="1" spans="1:11">
      <c r="A926" s="19">
        <v>922</v>
      </c>
      <c r="B926" s="20" t="s">
        <v>928</v>
      </c>
      <c r="C926" s="20" t="s">
        <v>970</v>
      </c>
      <c r="D926" s="20" t="s">
        <v>1026</v>
      </c>
      <c r="E926" s="21" t="s">
        <v>17</v>
      </c>
      <c r="F926" s="20" t="s">
        <v>18</v>
      </c>
      <c r="G926" s="20" t="s">
        <v>55</v>
      </c>
      <c r="H926" s="50">
        <v>45474</v>
      </c>
      <c r="I926" s="19">
        <v>800</v>
      </c>
      <c r="J926" s="24" t="s">
        <v>20</v>
      </c>
      <c r="K926" s="36"/>
    </row>
    <row r="927" ht="31" customHeight="1" spans="1:11">
      <c r="A927" s="19">
        <v>923</v>
      </c>
      <c r="B927" s="20" t="s">
        <v>928</v>
      </c>
      <c r="C927" s="20" t="s">
        <v>970</v>
      </c>
      <c r="D927" s="20" t="s">
        <v>1027</v>
      </c>
      <c r="E927" s="21" t="s">
        <v>17</v>
      </c>
      <c r="F927" s="20" t="s">
        <v>18</v>
      </c>
      <c r="G927" s="20" t="s">
        <v>32</v>
      </c>
      <c r="H927" s="50">
        <v>45324</v>
      </c>
      <c r="I927" s="19">
        <v>800</v>
      </c>
      <c r="J927" s="24" t="s">
        <v>20</v>
      </c>
      <c r="K927" s="36"/>
    </row>
    <row r="928" ht="31" customHeight="1" spans="1:11">
      <c r="A928" s="19">
        <v>924</v>
      </c>
      <c r="B928" s="20" t="s">
        <v>928</v>
      </c>
      <c r="C928" s="20" t="s">
        <v>970</v>
      </c>
      <c r="D928" s="20" t="s">
        <v>1028</v>
      </c>
      <c r="E928" s="21" t="s">
        <v>17</v>
      </c>
      <c r="F928" s="20" t="s">
        <v>18</v>
      </c>
      <c r="G928" s="20" t="s">
        <v>32</v>
      </c>
      <c r="H928" s="50">
        <v>45324</v>
      </c>
      <c r="I928" s="19">
        <v>800</v>
      </c>
      <c r="J928" s="24" t="s">
        <v>20</v>
      </c>
      <c r="K928" s="36"/>
    </row>
    <row r="929" ht="31" customHeight="1" spans="1:11">
      <c r="A929" s="19">
        <v>925</v>
      </c>
      <c r="B929" s="20" t="s">
        <v>928</v>
      </c>
      <c r="C929" s="20" t="s">
        <v>970</v>
      </c>
      <c r="D929" s="20" t="s">
        <v>1029</v>
      </c>
      <c r="E929" s="21" t="s">
        <v>17</v>
      </c>
      <c r="F929" s="20" t="s">
        <v>18</v>
      </c>
      <c r="G929" s="20" t="s">
        <v>32</v>
      </c>
      <c r="H929" s="50">
        <v>45324</v>
      </c>
      <c r="I929" s="19">
        <v>800</v>
      </c>
      <c r="J929" s="24" t="s">
        <v>20</v>
      </c>
      <c r="K929" s="36"/>
    </row>
    <row r="930" ht="31" customHeight="1" spans="1:11">
      <c r="A930" s="19">
        <v>926</v>
      </c>
      <c r="B930" s="20" t="s">
        <v>928</v>
      </c>
      <c r="C930" s="20" t="s">
        <v>970</v>
      </c>
      <c r="D930" s="20" t="s">
        <v>1030</v>
      </c>
      <c r="E930" s="21" t="s">
        <v>17</v>
      </c>
      <c r="F930" s="20" t="s">
        <v>18</v>
      </c>
      <c r="G930" s="20" t="s">
        <v>19</v>
      </c>
      <c r="H930" s="50">
        <v>45323</v>
      </c>
      <c r="I930" s="19">
        <v>600</v>
      </c>
      <c r="J930" s="24" t="s">
        <v>20</v>
      </c>
      <c r="K930" s="36"/>
    </row>
    <row r="931" ht="31" customHeight="1" spans="1:11">
      <c r="A931" s="19">
        <v>927</v>
      </c>
      <c r="B931" s="20" t="s">
        <v>928</v>
      </c>
      <c r="C931" s="20" t="s">
        <v>970</v>
      </c>
      <c r="D931" s="20" t="s">
        <v>1031</v>
      </c>
      <c r="E931" s="21" t="s">
        <v>17</v>
      </c>
      <c r="F931" s="20" t="s">
        <v>18</v>
      </c>
      <c r="G931" s="20" t="s">
        <v>19</v>
      </c>
      <c r="H931" s="50">
        <v>45323</v>
      </c>
      <c r="I931" s="19">
        <v>600</v>
      </c>
      <c r="J931" s="24" t="s">
        <v>20</v>
      </c>
      <c r="K931" s="36"/>
    </row>
    <row r="932" ht="31" customHeight="1" spans="1:11">
      <c r="A932" s="19">
        <v>928</v>
      </c>
      <c r="B932" s="20" t="s">
        <v>928</v>
      </c>
      <c r="C932" s="20" t="s">
        <v>970</v>
      </c>
      <c r="D932" s="20" t="s">
        <v>1032</v>
      </c>
      <c r="E932" s="21" t="s">
        <v>17</v>
      </c>
      <c r="F932" s="20" t="s">
        <v>18</v>
      </c>
      <c r="G932" s="20" t="s">
        <v>19</v>
      </c>
      <c r="H932" s="50">
        <v>45323</v>
      </c>
      <c r="I932" s="19">
        <v>600</v>
      </c>
      <c r="J932" s="24" t="s">
        <v>20</v>
      </c>
      <c r="K932" s="36"/>
    </row>
    <row r="933" ht="31" customHeight="1" spans="1:11">
      <c r="A933" s="19">
        <v>929</v>
      </c>
      <c r="B933" s="20" t="s">
        <v>928</v>
      </c>
      <c r="C933" s="20" t="s">
        <v>970</v>
      </c>
      <c r="D933" s="20" t="s">
        <v>1033</v>
      </c>
      <c r="E933" s="21" t="s">
        <v>17</v>
      </c>
      <c r="F933" s="20" t="s">
        <v>18</v>
      </c>
      <c r="G933" s="20" t="s">
        <v>19</v>
      </c>
      <c r="H933" s="50">
        <v>45413</v>
      </c>
      <c r="I933" s="19">
        <v>600</v>
      </c>
      <c r="J933" s="24" t="s">
        <v>20</v>
      </c>
      <c r="K933" s="36"/>
    </row>
    <row r="934" ht="31" customHeight="1" spans="1:11">
      <c r="A934" s="19">
        <v>930</v>
      </c>
      <c r="B934" s="20" t="s">
        <v>928</v>
      </c>
      <c r="C934" s="20" t="s">
        <v>970</v>
      </c>
      <c r="D934" s="20" t="s">
        <v>1034</v>
      </c>
      <c r="E934" s="21" t="s">
        <v>17</v>
      </c>
      <c r="F934" s="20" t="s">
        <v>18</v>
      </c>
      <c r="G934" s="20" t="s">
        <v>19</v>
      </c>
      <c r="H934" s="50">
        <v>45323</v>
      </c>
      <c r="I934" s="19">
        <v>600</v>
      </c>
      <c r="J934" s="24" t="s">
        <v>20</v>
      </c>
      <c r="K934" s="36"/>
    </row>
    <row r="935" ht="31" customHeight="1" spans="1:11">
      <c r="A935" s="19">
        <v>931</v>
      </c>
      <c r="B935" s="20" t="s">
        <v>928</v>
      </c>
      <c r="C935" s="20" t="s">
        <v>970</v>
      </c>
      <c r="D935" s="20" t="s">
        <v>1035</v>
      </c>
      <c r="E935" s="21" t="s">
        <v>17</v>
      </c>
      <c r="F935" s="20" t="s">
        <v>18</v>
      </c>
      <c r="G935" s="20" t="s">
        <v>19</v>
      </c>
      <c r="H935" s="50">
        <v>45474</v>
      </c>
      <c r="I935" s="19">
        <v>600</v>
      </c>
      <c r="J935" s="24" t="s">
        <v>20</v>
      </c>
      <c r="K935" s="36"/>
    </row>
    <row r="936" ht="31" customHeight="1" spans="1:11">
      <c r="A936" s="19">
        <v>932</v>
      </c>
      <c r="B936" s="20" t="s">
        <v>928</v>
      </c>
      <c r="C936" s="20" t="s">
        <v>970</v>
      </c>
      <c r="D936" s="20" t="s">
        <v>1036</v>
      </c>
      <c r="E936" s="21" t="s">
        <v>17</v>
      </c>
      <c r="F936" s="20" t="s">
        <v>18</v>
      </c>
      <c r="G936" s="20" t="s">
        <v>19</v>
      </c>
      <c r="H936" s="50">
        <v>45352</v>
      </c>
      <c r="I936" s="19">
        <v>600</v>
      </c>
      <c r="J936" s="24" t="s">
        <v>20</v>
      </c>
      <c r="K936" s="36"/>
    </row>
    <row r="937" ht="31" customHeight="1" spans="1:11">
      <c r="A937" s="19">
        <v>933</v>
      </c>
      <c r="B937" s="20" t="s">
        <v>928</v>
      </c>
      <c r="C937" s="20" t="s">
        <v>970</v>
      </c>
      <c r="D937" s="20" t="s">
        <v>1037</v>
      </c>
      <c r="E937" s="21" t="s">
        <v>17</v>
      </c>
      <c r="F937" s="20" t="s">
        <v>18</v>
      </c>
      <c r="G937" s="20" t="s">
        <v>19</v>
      </c>
      <c r="H937" s="50">
        <v>45323</v>
      </c>
      <c r="I937" s="19">
        <v>600</v>
      </c>
      <c r="J937" s="24" t="s">
        <v>20</v>
      </c>
      <c r="K937" s="36"/>
    </row>
    <row r="938" ht="31" customHeight="1" spans="1:11">
      <c r="A938" s="19">
        <v>934</v>
      </c>
      <c r="B938" s="20" t="s">
        <v>928</v>
      </c>
      <c r="C938" s="20" t="s">
        <v>970</v>
      </c>
      <c r="D938" s="20" t="s">
        <v>147</v>
      </c>
      <c r="E938" s="21" t="s">
        <v>17</v>
      </c>
      <c r="F938" s="20" t="s">
        <v>18</v>
      </c>
      <c r="G938" s="20" t="s">
        <v>19</v>
      </c>
      <c r="H938" s="50">
        <v>45383</v>
      </c>
      <c r="I938" s="19">
        <v>600</v>
      </c>
      <c r="J938" s="24" t="s">
        <v>20</v>
      </c>
      <c r="K938" s="36"/>
    </row>
    <row r="939" ht="31" customHeight="1" spans="1:11">
      <c r="A939" s="19">
        <v>935</v>
      </c>
      <c r="B939" s="20" t="s">
        <v>928</v>
      </c>
      <c r="C939" s="20" t="s">
        <v>970</v>
      </c>
      <c r="D939" s="20" t="s">
        <v>1038</v>
      </c>
      <c r="E939" s="21" t="s">
        <v>17</v>
      </c>
      <c r="F939" s="20" t="s">
        <v>18</v>
      </c>
      <c r="G939" s="20" t="s">
        <v>32</v>
      </c>
      <c r="H939" s="50">
        <v>45350</v>
      </c>
      <c r="I939" s="19">
        <v>800</v>
      </c>
      <c r="J939" s="24" t="s">
        <v>20</v>
      </c>
      <c r="K939" s="36"/>
    </row>
    <row r="940" ht="31" customHeight="1" spans="1:11">
      <c r="A940" s="19">
        <v>936</v>
      </c>
      <c r="B940" s="20" t="s">
        <v>928</v>
      </c>
      <c r="C940" s="20" t="s">
        <v>970</v>
      </c>
      <c r="D940" s="20" t="s">
        <v>1039</v>
      </c>
      <c r="E940" s="21" t="s">
        <v>17</v>
      </c>
      <c r="F940" s="20" t="s">
        <v>18</v>
      </c>
      <c r="G940" s="20" t="s">
        <v>19</v>
      </c>
      <c r="H940" s="50">
        <v>45350</v>
      </c>
      <c r="I940" s="19">
        <v>600</v>
      </c>
      <c r="J940" s="24" t="s">
        <v>20</v>
      </c>
      <c r="K940" s="36"/>
    </row>
    <row r="941" ht="31" customHeight="1" spans="1:11">
      <c r="A941" s="19">
        <v>937</v>
      </c>
      <c r="B941" s="20" t="s">
        <v>928</v>
      </c>
      <c r="C941" s="20" t="s">
        <v>970</v>
      </c>
      <c r="D941" s="20" t="s">
        <v>1040</v>
      </c>
      <c r="E941" s="21" t="s">
        <v>17</v>
      </c>
      <c r="F941" s="20" t="s">
        <v>18</v>
      </c>
      <c r="G941" s="20" t="s">
        <v>19</v>
      </c>
      <c r="H941" s="50">
        <v>45350</v>
      </c>
      <c r="I941" s="19">
        <v>600</v>
      </c>
      <c r="J941" s="24" t="s">
        <v>20</v>
      </c>
      <c r="K941" s="36"/>
    </row>
    <row r="942" ht="31" customHeight="1" spans="1:11">
      <c r="A942" s="19">
        <v>938</v>
      </c>
      <c r="B942" s="20" t="s">
        <v>928</v>
      </c>
      <c r="C942" s="20" t="s">
        <v>970</v>
      </c>
      <c r="D942" s="20" t="s">
        <v>1041</v>
      </c>
      <c r="E942" s="21" t="s">
        <v>17</v>
      </c>
      <c r="F942" s="20" t="s">
        <v>18</v>
      </c>
      <c r="G942" s="20" t="s">
        <v>19</v>
      </c>
      <c r="H942" s="50">
        <v>45350</v>
      </c>
      <c r="I942" s="19">
        <v>600</v>
      </c>
      <c r="J942" s="24" t="s">
        <v>20</v>
      </c>
      <c r="K942" s="36"/>
    </row>
    <row r="943" ht="31" customHeight="1" spans="1:11">
      <c r="A943" s="19">
        <v>939</v>
      </c>
      <c r="B943" s="20" t="s">
        <v>928</v>
      </c>
      <c r="C943" s="20" t="s">
        <v>970</v>
      </c>
      <c r="D943" s="20" t="s">
        <v>1042</v>
      </c>
      <c r="E943" s="21" t="s">
        <v>17</v>
      </c>
      <c r="F943" s="20" t="s">
        <v>18</v>
      </c>
      <c r="G943" s="20" t="s">
        <v>19</v>
      </c>
      <c r="H943" s="50">
        <v>45353</v>
      </c>
      <c r="I943" s="19">
        <v>600</v>
      </c>
      <c r="J943" s="24" t="s">
        <v>20</v>
      </c>
      <c r="K943" s="36"/>
    </row>
    <row r="944" ht="31" customHeight="1" spans="1:11">
      <c r="A944" s="19">
        <v>940</v>
      </c>
      <c r="B944" s="20" t="s">
        <v>928</v>
      </c>
      <c r="C944" s="20" t="s">
        <v>970</v>
      </c>
      <c r="D944" s="20" t="s">
        <v>1043</v>
      </c>
      <c r="E944" s="21" t="s">
        <v>17</v>
      </c>
      <c r="F944" s="20" t="s">
        <v>18</v>
      </c>
      <c r="G944" s="20" t="s">
        <v>29</v>
      </c>
      <c r="H944" s="50">
        <v>45292</v>
      </c>
      <c r="I944" s="19">
        <v>800</v>
      </c>
      <c r="J944" s="24" t="s">
        <v>20</v>
      </c>
      <c r="K944" s="36"/>
    </row>
    <row r="945" ht="31" customHeight="1" spans="1:11">
      <c r="A945" s="19">
        <v>941</v>
      </c>
      <c r="B945" s="20" t="s">
        <v>928</v>
      </c>
      <c r="C945" s="20" t="s">
        <v>970</v>
      </c>
      <c r="D945" s="20" t="s">
        <v>1044</v>
      </c>
      <c r="E945" s="21" t="s">
        <v>17</v>
      </c>
      <c r="F945" s="20" t="s">
        <v>18</v>
      </c>
      <c r="G945" s="20" t="s">
        <v>29</v>
      </c>
      <c r="H945" s="50">
        <v>45292</v>
      </c>
      <c r="I945" s="19">
        <v>800</v>
      </c>
      <c r="J945" s="24" t="s">
        <v>20</v>
      </c>
      <c r="K945" s="36"/>
    </row>
    <row r="946" ht="31" customHeight="1" spans="1:11">
      <c r="A946" s="19">
        <v>942</v>
      </c>
      <c r="B946" s="20" t="s">
        <v>928</v>
      </c>
      <c r="C946" s="20" t="s">
        <v>1045</v>
      </c>
      <c r="D946" s="20" t="s">
        <v>1046</v>
      </c>
      <c r="E946" s="21" t="s">
        <v>17</v>
      </c>
      <c r="F946" s="20" t="s">
        <v>18</v>
      </c>
      <c r="G946" s="20" t="s">
        <v>32</v>
      </c>
      <c r="H946" s="50">
        <v>45328</v>
      </c>
      <c r="I946" s="19">
        <v>800</v>
      </c>
      <c r="J946" s="24" t="s">
        <v>20</v>
      </c>
      <c r="K946" s="36"/>
    </row>
    <row r="947" ht="31" customHeight="1" spans="1:11">
      <c r="A947" s="19">
        <v>943</v>
      </c>
      <c r="B947" s="20" t="s">
        <v>928</v>
      </c>
      <c r="C947" s="20" t="s">
        <v>1047</v>
      </c>
      <c r="D947" s="20" t="s">
        <v>1048</v>
      </c>
      <c r="E947" s="21" t="s">
        <v>17</v>
      </c>
      <c r="F947" s="20" t="s">
        <v>18</v>
      </c>
      <c r="G947" s="20" t="s">
        <v>19</v>
      </c>
      <c r="H947" s="50">
        <v>45346</v>
      </c>
      <c r="I947" s="19">
        <v>600</v>
      </c>
      <c r="J947" s="24" t="s">
        <v>20</v>
      </c>
      <c r="K947" s="36"/>
    </row>
    <row r="948" ht="31" customHeight="1" spans="1:11">
      <c r="A948" s="19">
        <v>944</v>
      </c>
      <c r="B948" s="20" t="s">
        <v>928</v>
      </c>
      <c r="C948" s="20" t="s">
        <v>1047</v>
      </c>
      <c r="D948" s="20" t="s">
        <v>1049</v>
      </c>
      <c r="E948" s="21" t="s">
        <v>17</v>
      </c>
      <c r="F948" s="20" t="s">
        <v>18</v>
      </c>
      <c r="G948" s="20" t="s">
        <v>19</v>
      </c>
      <c r="H948" s="50">
        <v>45347</v>
      </c>
      <c r="I948" s="19">
        <v>600</v>
      </c>
      <c r="J948" s="24" t="s">
        <v>20</v>
      </c>
      <c r="K948" s="36"/>
    </row>
    <row r="949" ht="31" customHeight="1" spans="1:11">
      <c r="A949" s="19">
        <v>945</v>
      </c>
      <c r="B949" s="20" t="s">
        <v>928</v>
      </c>
      <c r="C949" s="20" t="s">
        <v>1047</v>
      </c>
      <c r="D949" s="20" t="s">
        <v>1050</v>
      </c>
      <c r="E949" s="21" t="s">
        <v>17</v>
      </c>
      <c r="F949" s="20" t="s">
        <v>18</v>
      </c>
      <c r="G949" s="20" t="s">
        <v>19</v>
      </c>
      <c r="H949" s="50">
        <v>45347</v>
      </c>
      <c r="I949" s="19">
        <v>600</v>
      </c>
      <c r="J949" s="24" t="s">
        <v>20</v>
      </c>
      <c r="K949" s="36"/>
    </row>
    <row r="950" ht="31" customHeight="1" spans="1:11">
      <c r="A950" s="19">
        <v>946</v>
      </c>
      <c r="B950" s="20" t="s">
        <v>928</v>
      </c>
      <c r="C950" s="20" t="s">
        <v>1047</v>
      </c>
      <c r="D950" s="20" t="s">
        <v>1051</v>
      </c>
      <c r="E950" s="21" t="s">
        <v>17</v>
      </c>
      <c r="F950" s="20" t="s">
        <v>18</v>
      </c>
      <c r="G950" s="20" t="s">
        <v>32</v>
      </c>
      <c r="H950" s="50">
        <v>45352</v>
      </c>
      <c r="I950" s="19">
        <v>800</v>
      </c>
      <c r="J950" s="24" t="s">
        <v>20</v>
      </c>
      <c r="K950" s="36"/>
    </row>
    <row r="951" ht="31" customHeight="1" spans="1:11">
      <c r="A951" s="19">
        <v>947</v>
      </c>
      <c r="B951" s="20" t="s">
        <v>928</v>
      </c>
      <c r="C951" s="20" t="s">
        <v>1047</v>
      </c>
      <c r="D951" s="20" t="s">
        <v>1052</v>
      </c>
      <c r="E951" s="21" t="s">
        <v>17</v>
      </c>
      <c r="F951" s="20" t="s">
        <v>18</v>
      </c>
      <c r="G951" s="20" t="s">
        <v>69</v>
      </c>
      <c r="H951" s="50">
        <v>45339</v>
      </c>
      <c r="I951" s="19">
        <v>800</v>
      </c>
      <c r="J951" s="24" t="s">
        <v>20</v>
      </c>
      <c r="K951" s="36"/>
    </row>
    <row r="952" ht="31" customHeight="1" spans="1:11">
      <c r="A952" s="19">
        <v>948</v>
      </c>
      <c r="B952" s="20" t="s">
        <v>928</v>
      </c>
      <c r="C952" s="20" t="s">
        <v>1047</v>
      </c>
      <c r="D952" s="20" t="s">
        <v>1053</v>
      </c>
      <c r="E952" s="21" t="s">
        <v>17</v>
      </c>
      <c r="F952" s="20" t="s">
        <v>18</v>
      </c>
      <c r="G952" s="20" t="s">
        <v>19</v>
      </c>
      <c r="H952" s="50">
        <v>45341</v>
      </c>
      <c r="I952" s="19">
        <v>600</v>
      </c>
      <c r="J952" s="24" t="s">
        <v>20</v>
      </c>
      <c r="K952" s="36"/>
    </row>
    <row r="953" ht="31" customHeight="1" spans="1:11">
      <c r="A953" s="19">
        <v>949</v>
      </c>
      <c r="B953" s="20" t="s">
        <v>928</v>
      </c>
      <c r="C953" s="20" t="s">
        <v>1047</v>
      </c>
      <c r="D953" s="20" t="s">
        <v>1054</v>
      </c>
      <c r="E953" s="21" t="s">
        <v>17</v>
      </c>
      <c r="F953" s="20" t="s">
        <v>18</v>
      </c>
      <c r="G953" s="20" t="s">
        <v>19</v>
      </c>
      <c r="H953" s="50">
        <v>45448</v>
      </c>
      <c r="I953" s="19">
        <v>600</v>
      </c>
      <c r="J953" s="24" t="s">
        <v>20</v>
      </c>
      <c r="K953" s="36"/>
    </row>
    <row r="954" ht="31" customHeight="1" spans="1:11">
      <c r="A954" s="19">
        <v>950</v>
      </c>
      <c r="B954" s="20" t="s">
        <v>928</v>
      </c>
      <c r="C954" s="20" t="s">
        <v>1047</v>
      </c>
      <c r="D954" s="20" t="s">
        <v>1055</v>
      </c>
      <c r="E954" s="21" t="s">
        <v>17</v>
      </c>
      <c r="F954" s="20" t="s">
        <v>18</v>
      </c>
      <c r="G954" s="20" t="s">
        <v>19</v>
      </c>
      <c r="H954" s="50">
        <v>45448</v>
      </c>
      <c r="I954" s="19">
        <v>600</v>
      </c>
      <c r="J954" s="24" t="s">
        <v>20</v>
      </c>
      <c r="K954" s="36"/>
    </row>
    <row r="955" ht="31" customHeight="1" spans="1:11">
      <c r="A955" s="19">
        <v>951</v>
      </c>
      <c r="B955" s="20" t="s">
        <v>928</v>
      </c>
      <c r="C955" s="20" t="s">
        <v>1047</v>
      </c>
      <c r="D955" s="20" t="s">
        <v>1056</v>
      </c>
      <c r="E955" s="21" t="s">
        <v>17</v>
      </c>
      <c r="F955" s="20" t="s">
        <v>18</v>
      </c>
      <c r="G955" s="20" t="s">
        <v>19</v>
      </c>
      <c r="H955" s="50">
        <v>45418</v>
      </c>
      <c r="I955" s="19">
        <v>600</v>
      </c>
      <c r="J955" s="24" t="s">
        <v>20</v>
      </c>
      <c r="K955" s="36"/>
    </row>
    <row r="956" ht="31" customHeight="1" spans="1:11">
      <c r="A956" s="19">
        <v>952</v>
      </c>
      <c r="B956" s="20" t="s">
        <v>928</v>
      </c>
      <c r="C956" s="20" t="s">
        <v>1047</v>
      </c>
      <c r="D956" s="20" t="s">
        <v>1057</v>
      </c>
      <c r="E956" s="21" t="s">
        <v>17</v>
      </c>
      <c r="F956" s="20" t="s">
        <v>18</v>
      </c>
      <c r="G956" s="20" t="s">
        <v>19</v>
      </c>
      <c r="H956" s="50">
        <v>45418</v>
      </c>
      <c r="I956" s="19">
        <v>600</v>
      </c>
      <c r="J956" s="24" t="s">
        <v>20</v>
      </c>
      <c r="K956" s="36"/>
    </row>
    <row r="957" ht="31" customHeight="1" spans="1:11">
      <c r="A957" s="19">
        <v>953</v>
      </c>
      <c r="B957" s="20" t="s">
        <v>928</v>
      </c>
      <c r="C957" s="20" t="s">
        <v>1047</v>
      </c>
      <c r="D957" s="20" t="s">
        <v>1058</v>
      </c>
      <c r="E957" s="21" t="s">
        <v>17</v>
      </c>
      <c r="F957" s="20" t="s">
        <v>18</v>
      </c>
      <c r="G957" s="20" t="s">
        <v>19</v>
      </c>
      <c r="H957" s="50">
        <v>45436</v>
      </c>
      <c r="I957" s="19">
        <v>600</v>
      </c>
      <c r="J957" s="24" t="s">
        <v>20</v>
      </c>
      <c r="K957" s="36"/>
    </row>
    <row r="958" ht="31" customHeight="1" spans="1:11">
      <c r="A958" s="19">
        <v>954</v>
      </c>
      <c r="B958" s="20" t="s">
        <v>928</v>
      </c>
      <c r="C958" s="20" t="s">
        <v>1047</v>
      </c>
      <c r="D958" s="20" t="s">
        <v>1059</v>
      </c>
      <c r="E958" s="21" t="s">
        <v>17</v>
      </c>
      <c r="F958" s="20" t="s">
        <v>18</v>
      </c>
      <c r="G958" s="20" t="s">
        <v>29</v>
      </c>
      <c r="H958" s="50">
        <v>45352</v>
      </c>
      <c r="I958" s="19">
        <v>800</v>
      </c>
      <c r="J958" s="24" t="s">
        <v>20</v>
      </c>
      <c r="K958" s="36"/>
    </row>
    <row r="959" ht="31" customHeight="1" spans="1:11">
      <c r="A959" s="19">
        <v>955</v>
      </c>
      <c r="B959" s="20" t="s">
        <v>928</v>
      </c>
      <c r="C959" s="20" t="s">
        <v>1047</v>
      </c>
      <c r="D959" s="20" t="s">
        <v>1060</v>
      </c>
      <c r="E959" s="21" t="s">
        <v>17</v>
      </c>
      <c r="F959" s="20" t="s">
        <v>18</v>
      </c>
      <c r="G959" s="20" t="s">
        <v>29</v>
      </c>
      <c r="H959" s="50">
        <v>45352</v>
      </c>
      <c r="I959" s="19">
        <v>800</v>
      </c>
      <c r="J959" s="24" t="s">
        <v>20</v>
      </c>
      <c r="K959" s="36"/>
    </row>
    <row r="960" ht="31" customHeight="1" spans="1:11">
      <c r="A960" s="19">
        <v>956</v>
      </c>
      <c r="B960" s="20" t="s">
        <v>928</v>
      </c>
      <c r="C960" s="20" t="s">
        <v>1047</v>
      </c>
      <c r="D960" s="20" t="s">
        <v>1061</v>
      </c>
      <c r="E960" s="21" t="s">
        <v>17</v>
      </c>
      <c r="F960" s="20" t="s">
        <v>18</v>
      </c>
      <c r="G960" s="20" t="s">
        <v>29</v>
      </c>
      <c r="H960" s="50">
        <v>45352</v>
      </c>
      <c r="I960" s="19">
        <v>800</v>
      </c>
      <c r="J960" s="24" t="s">
        <v>20</v>
      </c>
      <c r="K960" s="36"/>
    </row>
    <row r="961" ht="31" customHeight="1" spans="1:11">
      <c r="A961" s="19">
        <v>957</v>
      </c>
      <c r="B961" s="20" t="s">
        <v>928</v>
      </c>
      <c r="C961" s="20" t="s">
        <v>1047</v>
      </c>
      <c r="D961" s="20" t="s">
        <v>1062</v>
      </c>
      <c r="E961" s="21" t="s">
        <v>17</v>
      </c>
      <c r="F961" s="20" t="s">
        <v>18</v>
      </c>
      <c r="G961" s="20" t="s">
        <v>19</v>
      </c>
      <c r="H961" s="50">
        <v>45347</v>
      </c>
      <c r="I961" s="19">
        <v>600</v>
      </c>
      <c r="J961" s="24" t="s">
        <v>20</v>
      </c>
      <c r="K961" s="36"/>
    </row>
    <row r="962" ht="31" customHeight="1" spans="1:11">
      <c r="A962" s="19">
        <v>958</v>
      </c>
      <c r="B962" s="20" t="s">
        <v>928</v>
      </c>
      <c r="C962" s="20" t="s">
        <v>1047</v>
      </c>
      <c r="D962" s="20" t="s">
        <v>1063</v>
      </c>
      <c r="E962" s="21" t="s">
        <v>17</v>
      </c>
      <c r="F962" s="20" t="s">
        <v>18</v>
      </c>
      <c r="G962" s="20" t="s">
        <v>29</v>
      </c>
      <c r="H962" s="50">
        <v>45347</v>
      </c>
      <c r="I962" s="19">
        <v>800</v>
      </c>
      <c r="J962" s="24" t="s">
        <v>20</v>
      </c>
      <c r="K962" s="36"/>
    </row>
    <row r="963" ht="31" customHeight="1" spans="1:11">
      <c r="A963" s="19">
        <v>959</v>
      </c>
      <c r="B963" s="20" t="s">
        <v>928</v>
      </c>
      <c r="C963" s="20" t="s">
        <v>1047</v>
      </c>
      <c r="D963" s="51" t="s">
        <v>1064</v>
      </c>
      <c r="E963" s="21" t="s">
        <v>17</v>
      </c>
      <c r="F963" s="20" t="s">
        <v>18</v>
      </c>
      <c r="G963" s="20" t="s">
        <v>19</v>
      </c>
      <c r="H963" s="50">
        <v>45350</v>
      </c>
      <c r="I963" s="19">
        <v>600</v>
      </c>
      <c r="J963" s="24" t="s">
        <v>20</v>
      </c>
      <c r="K963" s="36"/>
    </row>
    <row r="964" ht="31" customHeight="1" spans="1:11">
      <c r="A964" s="19">
        <v>960</v>
      </c>
      <c r="B964" s="20" t="s">
        <v>928</v>
      </c>
      <c r="C964" s="20" t="s">
        <v>1047</v>
      </c>
      <c r="D964" s="20" t="s">
        <v>1065</v>
      </c>
      <c r="E964" s="21" t="s">
        <v>17</v>
      </c>
      <c r="F964" s="20" t="s">
        <v>18</v>
      </c>
      <c r="G964" s="20" t="s">
        <v>19</v>
      </c>
      <c r="H964" s="50">
        <v>45350</v>
      </c>
      <c r="I964" s="19">
        <v>600</v>
      </c>
      <c r="J964" s="24" t="s">
        <v>20</v>
      </c>
      <c r="K964" s="36"/>
    </row>
    <row r="965" ht="31" customHeight="1" spans="1:11">
      <c r="A965" s="19">
        <v>961</v>
      </c>
      <c r="B965" s="20" t="s">
        <v>928</v>
      </c>
      <c r="C965" s="20" t="s">
        <v>1047</v>
      </c>
      <c r="D965" s="20" t="s">
        <v>1066</v>
      </c>
      <c r="E965" s="21" t="s">
        <v>17</v>
      </c>
      <c r="F965" s="20" t="s">
        <v>18</v>
      </c>
      <c r="G965" s="20" t="s">
        <v>19</v>
      </c>
      <c r="H965" s="50">
        <v>45350</v>
      </c>
      <c r="I965" s="19">
        <v>600</v>
      </c>
      <c r="J965" s="24" t="s">
        <v>20</v>
      </c>
      <c r="K965" s="36"/>
    </row>
    <row r="966" ht="31" customHeight="1" spans="1:11">
      <c r="A966" s="19">
        <v>962</v>
      </c>
      <c r="B966" s="20" t="s">
        <v>928</v>
      </c>
      <c r="C966" s="20" t="s">
        <v>1047</v>
      </c>
      <c r="D966" s="20" t="s">
        <v>1067</v>
      </c>
      <c r="E966" s="21" t="s">
        <v>17</v>
      </c>
      <c r="F966" s="20" t="s">
        <v>18</v>
      </c>
      <c r="G966" s="20" t="s">
        <v>29</v>
      </c>
      <c r="H966" s="50">
        <v>45347</v>
      </c>
      <c r="I966" s="19">
        <v>800</v>
      </c>
      <c r="J966" s="24" t="s">
        <v>20</v>
      </c>
      <c r="K966" s="36"/>
    </row>
    <row r="967" ht="31" customHeight="1" spans="1:11">
      <c r="A967" s="19">
        <v>963</v>
      </c>
      <c r="B967" s="20" t="s">
        <v>928</v>
      </c>
      <c r="C967" s="20" t="s">
        <v>1047</v>
      </c>
      <c r="D967" s="20" t="s">
        <v>1068</v>
      </c>
      <c r="E967" s="21" t="s">
        <v>17</v>
      </c>
      <c r="F967" s="20" t="s">
        <v>18</v>
      </c>
      <c r="G967" s="20" t="s">
        <v>32</v>
      </c>
      <c r="H967" s="50">
        <v>45359</v>
      </c>
      <c r="I967" s="19">
        <v>800</v>
      </c>
      <c r="J967" s="24" t="s">
        <v>20</v>
      </c>
      <c r="K967" s="36"/>
    </row>
    <row r="968" ht="31" customHeight="1" spans="1:11">
      <c r="A968" s="19">
        <v>964</v>
      </c>
      <c r="B968" s="20" t="s">
        <v>928</v>
      </c>
      <c r="C968" s="20" t="s">
        <v>1047</v>
      </c>
      <c r="D968" s="20" t="s">
        <v>1069</v>
      </c>
      <c r="E968" s="21" t="s">
        <v>17</v>
      </c>
      <c r="F968" s="20" t="s">
        <v>18</v>
      </c>
      <c r="G968" s="20" t="s">
        <v>19</v>
      </c>
      <c r="H968" s="50">
        <v>45347</v>
      </c>
      <c r="I968" s="19">
        <v>600</v>
      </c>
      <c r="J968" s="24" t="s">
        <v>20</v>
      </c>
      <c r="K968" s="36"/>
    </row>
    <row r="969" ht="31" customHeight="1" spans="1:11">
      <c r="A969" s="19">
        <v>965</v>
      </c>
      <c r="B969" s="20" t="s">
        <v>928</v>
      </c>
      <c r="C969" s="20" t="s">
        <v>1047</v>
      </c>
      <c r="D969" s="20" t="s">
        <v>1070</v>
      </c>
      <c r="E969" s="21" t="s">
        <v>17</v>
      </c>
      <c r="F969" s="20" t="s">
        <v>18</v>
      </c>
      <c r="G969" s="20" t="s">
        <v>19</v>
      </c>
      <c r="H969" s="50">
        <v>45342</v>
      </c>
      <c r="I969" s="19">
        <v>600</v>
      </c>
      <c r="J969" s="24" t="s">
        <v>20</v>
      </c>
      <c r="K969" s="36"/>
    </row>
    <row r="970" ht="31" customHeight="1" spans="1:11">
      <c r="A970" s="19">
        <v>966</v>
      </c>
      <c r="B970" s="20" t="s">
        <v>928</v>
      </c>
      <c r="C970" s="20" t="s">
        <v>1071</v>
      </c>
      <c r="D970" s="20" t="s">
        <v>1072</v>
      </c>
      <c r="E970" s="21" t="s">
        <v>17</v>
      </c>
      <c r="F970" s="20" t="s">
        <v>18</v>
      </c>
      <c r="G970" s="20" t="s">
        <v>19</v>
      </c>
      <c r="H970" s="50">
        <v>45292</v>
      </c>
      <c r="I970" s="19">
        <v>600</v>
      </c>
      <c r="J970" s="24" t="s">
        <v>20</v>
      </c>
      <c r="K970" s="36"/>
    </row>
    <row r="971" ht="31" customHeight="1" spans="1:11">
      <c r="A971" s="19">
        <v>967</v>
      </c>
      <c r="B971" s="20" t="s">
        <v>928</v>
      </c>
      <c r="C971" s="20" t="s">
        <v>1071</v>
      </c>
      <c r="D971" s="20" t="s">
        <v>1073</v>
      </c>
      <c r="E971" s="21" t="s">
        <v>17</v>
      </c>
      <c r="F971" s="20" t="s">
        <v>18</v>
      </c>
      <c r="G971" s="20" t="s">
        <v>19</v>
      </c>
      <c r="H971" s="50">
        <v>45316</v>
      </c>
      <c r="I971" s="19">
        <v>600</v>
      </c>
      <c r="J971" s="24" t="s">
        <v>20</v>
      </c>
      <c r="K971" s="36"/>
    </row>
    <row r="972" ht="31" customHeight="1" spans="1:11">
      <c r="A972" s="19">
        <v>968</v>
      </c>
      <c r="B972" s="20" t="s">
        <v>928</v>
      </c>
      <c r="C972" s="20" t="s">
        <v>1071</v>
      </c>
      <c r="D972" s="20" t="s">
        <v>1074</v>
      </c>
      <c r="E972" s="21" t="s">
        <v>17</v>
      </c>
      <c r="F972" s="20" t="s">
        <v>18</v>
      </c>
      <c r="G972" s="20" t="s">
        <v>29</v>
      </c>
      <c r="H972" s="50">
        <v>45394</v>
      </c>
      <c r="I972" s="19">
        <v>800</v>
      </c>
      <c r="J972" s="24" t="s">
        <v>20</v>
      </c>
      <c r="K972" s="36"/>
    </row>
    <row r="973" ht="31" customHeight="1" spans="1:11">
      <c r="A973" s="19">
        <v>969</v>
      </c>
      <c r="B973" s="20" t="s">
        <v>928</v>
      </c>
      <c r="C973" s="20" t="s">
        <v>1071</v>
      </c>
      <c r="D973" s="20" t="s">
        <v>1075</v>
      </c>
      <c r="E973" s="21" t="s">
        <v>17</v>
      </c>
      <c r="F973" s="20" t="s">
        <v>18</v>
      </c>
      <c r="G973" s="20" t="s">
        <v>19</v>
      </c>
      <c r="H973" s="50">
        <v>45340</v>
      </c>
      <c r="I973" s="19">
        <v>600</v>
      </c>
      <c r="J973" s="24" t="s">
        <v>20</v>
      </c>
      <c r="K973" s="36"/>
    </row>
    <row r="974" ht="31" customHeight="1" spans="1:11">
      <c r="A974" s="19">
        <v>970</v>
      </c>
      <c r="B974" s="20" t="s">
        <v>928</v>
      </c>
      <c r="C974" s="20" t="s">
        <v>1071</v>
      </c>
      <c r="D974" s="20" t="s">
        <v>1076</v>
      </c>
      <c r="E974" s="21" t="s">
        <v>17</v>
      </c>
      <c r="F974" s="20" t="s">
        <v>18</v>
      </c>
      <c r="G974" s="20" t="s">
        <v>19</v>
      </c>
      <c r="H974" s="50">
        <v>45402</v>
      </c>
      <c r="I974" s="19">
        <v>600</v>
      </c>
      <c r="J974" s="24" t="s">
        <v>20</v>
      </c>
      <c r="K974" s="36"/>
    </row>
    <row r="975" ht="31" customHeight="1" spans="1:11">
      <c r="A975" s="19">
        <v>971</v>
      </c>
      <c r="B975" s="20" t="s">
        <v>928</v>
      </c>
      <c r="C975" s="20" t="s">
        <v>1071</v>
      </c>
      <c r="D975" s="20" t="s">
        <v>1077</v>
      </c>
      <c r="E975" s="21" t="s">
        <v>17</v>
      </c>
      <c r="F975" s="20" t="s">
        <v>18</v>
      </c>
      <c r="G975" s="20" t="s">
        <v>19</v>
      </c>
      <c r="H975" s="50">
        <v>45402</v>
      </c>
      <c r="I975" s="19">
        <v>600</v>
      </c>
      <c r="J975" s="24" t="s">
        <v>20</v>
      </c>
      <c r="K975" s="36"/>
    </row>
    <row r="976" ht="31" customHeight="1" spans="1:11">
      <c r="A976" s="19">
        <v>972</v>
      </c>
      <c r="B976" s="20" t="s">
        <v>928</v>
      </c>
      <c r="C976" s="20" t="s">
        <v>1071</v>
      </c>
      <c r="D976" s="20" t="s">
        <v>1078</v>
      </c>
      <c r="E976" s="21" t="s">
        <v>17</v>
      </c>
      <c r="F976" s="20" t="s">
        <v>18</v>
      </c>
      <c r="G976" s="20" t="s">
        <v>19</v>
      </c>
      <c r="H976" s="50">
        <v>45292</v>
      </c>
      <c r="I976" s="19">
        <v>600</v>
      </c>
      <c r="J976" s="24" t="s">
        <v>20</v>
      </c>
      <c r="K976" s="36"/>
    </row>
    <row r="977" ht="31" customHeight="1" spans="1:11">
      <c r="A977" s="19">
        <v>973</v>
      </c>
      <c r="B977" s="20" t="s">
        <v>928</v>
      </c>
      <c r="C977" s="20" t="s">
        <v>1071</v>
      </c>
      <c r="D977" s="20" t="s">
        <v>1079</v>
      </c>
      <c r="E977" s="21" t="s">
        <v>17</v>
      </c>
      <c r="F977" s="20" t="s">
        <v>18</v>
      </c>
      <c r="G977" s="20" t="s">
        <v>19</v>
      </c>
      <c r="H977" s="50">
        <v>45292</v>
      </c>
      <c r="I977" s="19">
        <v>600</v>
      </c>
      <c r="J977" s="24" t="s">
        <v>20</v>
      </c>
      <c r="K977" s="36"/>
    </row>
    <row r="978" ht="31" customHeight="1" spans="1:11">
      <c r="A978" s="19">
        <v>974</v>
      </c>
      <c r="B978" s="20" t="s">
        <v>928</v>
      </c>
      <c r="C978" s="20" t="s">
        <v>1071</v>
      </c>
      <c r="D978" s="20" t="s">
        <v>1080</v>
      </c>
      <c r="E978" s="21" t="s">
        <v>17</v>
      </c>
      <c r="F978" s="20" t="s">
        <v>18</v>
      </c>
      <c r="G978" s="20" t="s">
        <v>19</v>
      </c>
      <c r="H978" s="50">
        <v>45292</v>
      </c>
      <c r="I978" s="19">
        <v>600</v>
      </c>
      <c r="J978" s="24" t="s">
        <v>20</v>
      </c>
      <c r="K978" s="36"/>
    </row>
    <row r="979" ht="31" customHeight="1" spans="1:11">
      <c r="A979" s="19">
        <v>975</v>
      </c>
      <c r="B979" s="20" t="s">
        <v>928</v>
      </c>
      <c r="C979" s="20" t="s">
        <v>1071</v>
      </c>
      <c r="D979" s="20" t="s">
        <v>1081</v>
      </c>
      <c r="E979" s="21" t="s">
        <v>17</v>
      </c>
      <c r="F979" s="20" t="s">
        <v>18</v>
      </c>
      <c r="G979" s="20" t="s">
        <v>19</v>
      </c>
      <c r="H979" s="50">
        <v>45356</v>
      </c>
      <c r="I979" s="19">
        <v>600</v>
      </c>
      <c r="J979" s="24" t="s">
        <v>20</v>
      </c>
      <c r="K979" s="36"/>
    </row>
    <row r="980" ht="31" customHeight="1" spans="1:11">
      <c r="A980" s="19">
        <v>976</v>
      </c>
      <c r="B980" s="20" t="s">
        <v>928</v>
      </c>
      <c r="C980" s="20" t="s">
        <v>1071</v>
      </c>
      <c r="D980" s="20" t="s">
        <v>1082</v>
      </c>
      <c r="E980" s="21" t="s">
        <v>17</v>
      </c>
      <c r="F980" s="20" t="s">
        <v>18</v>
      </c>
      <c r="G980" s="20" t="s">
        <v>29</v>
      </c>
      <c r="H980" s="50">
        <v>45292</v>
      </c>
      <c r="I980" s="19">
        <v>800</v>
      </c>
      <c r="J980" s="24" t="s">
        <v>20</v>
      </c>
      <c r="K980" s="36"/>
    </row>
    <row r="981" ht="31" customHeight="1" spans="1:11">
      <c r="A981" s="19">
        <v>977</v>
      </c>
      <c r="B981" s="20" t="s">
        <v>928</v>
      </c>
      <c r="C981" s="20" t="s">
        <v>1071</v>
      </c>
      <c r="D981" s="20" t="s">
        <v>1083</v>
      </c>
      <c r="E981" s="21" t="s">
        <v>17</v>
      </c>
      <c r="F981" s="20" t="s">
        <v>18</v>
      </c>
      <c r="G981" s="20" t="s">
        <v>19</v>
      </c>
      <c r="H981" s="50">
        <v>45361</v>
      </c>
      <c r="I981" s="19">
        <v>600</v>
      </c>
      <c r="J981" s="24" t="s">
        <v>20</v>
      </c>
      <c r="K981" s="36"/>
    </row>
    <row r="982" ht="31" customHeight="1" spans="1:11">
      <c r="A982" s="19">
        <v>978</v>
      </c>
      <c r="B982" s="20" t="s">
        <v>928</v>
      </c>
      <c r="C982" s="20" t="s">
        <v>1071</v>
      </c>
      <c r="D982" s="20" t="s">
        <v>1084</v>
      </c>
      <c r="E982" s="21" t="s">
        <v>17</v>
      </c>
      <c r="F982" s="20" t="s">
        <v>18</v>
      </c>
      <c r="G982" s="20" t="s">
        <v>19</v>
      </c>
      <c r="H982" s="50">
        <v>45332</v>
      </c>
      <c r="I982" s="19">
        <v>600</v>
      </c>
      <c r="J982" s="24" t="s">
        <v>20</v>
      </c>
      <c r="K982" s="36"/>
    </row>
    <row r="983" ht="31" customHeight="1" spans="1:11">
      <c r="A983" s="19">
        <v>979</v>
      </c>
      <c r="B983" s="20" t="s">
        <v>928</v>
      </c>
      <c r="C983" s="20" t="s">
        <v>1071</v>
      </c>
      <c r="D983" s="20" t="s">
        <v>1085</v>
      </c>
      <c r="E983" s="21" t="s">
        <v>17</v>
      </c>
      <c r="F983" s="20" t="s">
        <v>18</v>
      </c>
      <c r="G983" s="20" t="s">
        <v>19</v>
      </c>
      <c r="H983" s="50">
        <v>45323</v>
      </c>
      <c r="I983" s="19">
        <v>600</v>
      </c>
      <c r="J983" s="24" t="s">
        <v>20</v>
      </c>
      <c r="K983" s="36"/>
    </row>
    <row r="984" ht="31" customHeight="1" spans="1:11">
      <c r="A984" s="19">
        <v>980</v>
      </c>
      <c r="B984" s="20" t="s">
        <v>928</v>
      </c>
      <c r="C984" s="20" t="s">
        <v>1071</v>
      </c>
      <c r="D984" s="20" t="s">
        <v>1086</v>
      </c>
      <c r="E984" s="21" t="s">
        <v>17</v>
      </c>
      <c r="F984" s="20" t="s">
        <v>18</v>
      </c>
      <c r="G984" s="20" t="s">
        <v>19</v>
      </c>
      <c r="H984" s="50">
        <v>45292</v>
      </c>
      <c r="I984" s="19">
        <v>600</v>
      </c>
      <c r="J984" s="24" t="s">
        <v>20</v>
      </c>
      <c r="K984" s="36"/>
    </row>
    <row r="985" ht="31" customHeight="1" spans="1:11">
      <c r="A985" s="19">
        <v>981</v>
      </c>
      <c r="B985" s="20" t="s">
        <v>928</v>
      </c>
      <c r="C985" s="20" t="s">
        <v>1071</v>
      </c>
      <c r="D985" s="20" t="s">
        <v>1087</v>
      </c>
      <c r="E985" s="21" t="s">
        <v>17</v>
      </c>
      <c r="F985" s="20" t="s">
        <v>18</v>
      </c>
      <c r="G985" s="20" t="s">
        <v>19</v>
      </c>
      <c r="H985" s="50">
        <v>45292</v>
      </c>
      <c r="I985" s="19">
        <v>600</v>
      </c>
      <c r="J985" s="24" t="s">
        <v>20</v>
      </c>
      <c r="K985" s="36"/>
    </row>
    <row r="986" ht="31" customHeight="1" spans="1:11">
      <c r="A986" s="19">
        <v>982</v>
      </c>
      <c r="B986" s="20" t="s">
        <v>928</v>
      </c>
      <c r="C986" s="20" t="s">
        <v>1071</v>
      </c>
      <c r="D986" s="20" t="s">
        <v>1088</v>
      </c>
      <c r="E986" s="21" t="s">
        <v>17</v>
      </c>
      <c r="F986" s="20" t="s">
        <v>18</v>
      </c>
      <c r="G986" s="20" t="s">
        <v>19</v>
      </c>
      <c r="H986" s="50">
        <v>45292</v>
      </c>
      <c r="I986" s="19">
        <v>600</v>
      </c>
      <c r="J986" s="24" t="s">
        <v>20</v>
      </c>
      <c r="K986" s="36"/>
    </row>
    <row r="987" ht="31" customHeight="1" spans="1:11">
      <c r="A987" s="19">
        <v>983</v>
      </c>
      <c r="B987" s="20" t="s">
        <v>928</v>
      </c>
      <c r="C987" s="20" t="s">
        <v>1071</v>
      </c>
      <c r="D987" s="20" t="s">
        <v>1089</v>
      </c>
      <c r="E987" s="21" t="s">
        <v>17</v>
      </c>
      <c r="F987" s="20" t="s">
        <v>18</v>
      </c>
      <c r="G987" s="20" t="s">
        <v>19</v>
      </c>
      <c r="H987" s="50">
        <v>45292</v>
      </c>
      <c r="I987" s="19">
        <v>600</v>
      </c>
      <c r="J987" s="24" t="s">
        <v>20</v>
      </c>
      <c r="K987" s="36"/>
    </row>
    <row r="988" ht="31" customHeight="1" spans="1:11">
      <c r="A988" s="19">
        <v>984</v>
      </c>
      <c r="B988" s="20" t="s">
        <v>928</v>
      </c>
      <c r="C988" s="20" t="s">
        <v>1071</v>
      </c>
      <c r="D988" s="20" t="s">
        <v>1090</v>
      </c>
      <c r="E988" s="21" t="s">
        <v>17</v>
      </c>
      <c r="F988" s="20" t="s">
        <v>18</v>
      </c>
      <c r="G988" s="20" t="s">
        <v>69</v>
      </c>
      <c r="H988" s="50">
        <v>45418</v>
      </c>
      <c r="I988" s="19">
        <v>800</v>
      </c>
      <c r="J988" s="24" t="s">
        <v>20</v>
      </c>
      <c r="K988" s="36"/>
    </row>
    <row r="989" ht="31" customHeight="1" spans="1:11">
      <c r="A989" s="19">
        <v>985</v>
      </c>
      <c r="B989" s="20" t="s">
        <v>928</v>
      </c>
      <c r="C989" s="20" t="s">
        <v>1071</v>
      </c>
      <c r="D989" s="20" t="s">
        <v>1091</v>
      </c>
      <c r="E989" s="21" t="s">
        <v>17</v>
      </c>
      <c r="F989" s="20" t="s">
        <v>18</v>
      </c>
      <c r="G989" s="20" t="s">
        <v>69</v>
      </c>
      <c r="H989" s="50">
        <v>45418</v>
      </c>
      <c r="I989" s="19">
        <v>800</v>
      </c>
      <c r="J989" s="24" t="s">
        <v>20</v>
      </c>
      <c r="K989" s="36"/>
    </row>
    <row r="990" ht="31" customHeight="1" spans="1:11">
      <c r="A990" s="19">
        <v>986</v>
      </c>
      <c r="B990" s="20" t="s">
        <v>928</v>
      </c>
      <c r="C990" s="20" t="s">
        <v>1071</v>
      </c>
      <c r="D990" s="20" t="s">
        <v>1092</v>
      </c>
      <c r="E990" s="21" t="s">
        <v>17</v>
      </c>
      <c r="F990" s="20" t="s">
        <v>18</v>
      </c>
      <c r="G990" s="20" t="s">
        <v>19</v>
      </c>
      <c r="H990" s="50">
        <v>45323</v>
      </c>
      <c r="I990" s="19">
        <v>600</v>
      </c>
      <c r="J990" s="24" t="s">
        <v>20</v>
      </c>
      <c r="K990" s="36"/>
    </row>
    <row r="991" ht="31" customHeight="1" spans="1:11">
      <c r="A991" s="19">
        <v>987</v>
      </c>
      <c r="B991" s="20" t="s">
        <v>928</v>
      </c>
      <c r="C991" s="20" t="s">
        <v>1071</v>
      </c>
      <c r="D991" s="20" t="s">
        <v>1093</v>
      </c>
      <c r="E991" s="21" t="s">
        <v>17</v>
      </c>
      <c r="F991" s="20" t="s">
        <v>18</v>
      </c>
      <c r="G991" s="20" t="s">
        <v>301</v>
      </c>
      <c r="H991" s="50">
        <v>45410</v>
      </c>
      <c r="I991" s="19">
        <v>800</v>
      </c>
      <c r="J991" s="24" t="s">
        <v>20</v>
      </c>
      <c r="K991" s="36"/>
    </row>
    <row r="992" ht="31" customHeight="1" spans="1:11">
      <c r="A992" s="19">
        <v>988</v>
      </c>
      <c r="B992" s="20" t="s">
        <v>928</v>
      </c>
      <c r="C992" s="20" t="s">
        <v>1071</v>
      </c>
      <c r="D992" s="20" t="s">
        <v>1094</v>
      </c>
      <c r="E992" s="21" t="s">
        <v>17</v>
      </c>
      <c r="F992" s="20" t="s">
        <v>18</v>
      </c>
      <c r="G992" s="20" t="s">
        <v>19</v>
      </c>
      <c r="H992" s="50">
        <v>45348</v>
      </c>
      <c r="I992" s="19">
        <v>600</v>
      </c>
      <c r="J992" s="24" t="s">
        <v>20</v>
      </c>
      <c r="K992" s="36"/>
    </row>
    <row r="993" ht="31" customHeight="1" spans="1:11">
      <c r="A993" s="19">
        <v>989</v>
      </c>
      <c r="B993" s="20" t="s">
        <v>928</v>
      </c>
      <c r="C993" s="20" t="s">
        <v>1071</v>
      </c>
      <c r="D993" s="20" t="s">
        <v>1095</v>
      </c>
      <c r="E993" s="21" t="s">
        <v>17</v>
      </c>
      <c r="F993" s="20" t="s">
        <v>18</v>
      </c>
      <c r="G993" s="20" t="s">
        <v>19</v>
      </c>
      <c r="H993" s="50">
        <v>45348</v>
      </c>
      <c r="I993" s="19">
        <v>600</v>
      </c>
      <c r="J993" s="24" t="s">
        <v>20</v>
      </c>
      <c r="K993" s="36"/>
    </row>
    <row r="994" ht="31" customHeight="1" spans="1:11">
      <c r="A994" s="19">
        <v>990</v>
      </c>
      <c r="B994" s="20" t="s">
        <v>928</v>
      </c>
      <c r="C994" s="20" t="s">
        <v>1071</v>
      </c>
      <c r="D994" s="20" t="s">
        <v>1096</v>
      </c>
      <c r="E994" s="21" t="s">
        <v>17</v>
      </c>
      <c r="F994" s="20" t="s">
        <v>18</v>
      </c>
      <c r="G994" s="20" t="s">
        <v>38</v>
      </c>
      <c r="H994" s="50">
        <v>45471</v>
      </c>
      <c r="I994" s="19">
        <v>600</v>
      </c>
      <c r="J994" s="24" t="s">
        <v>20</v>
      </c>
      <c r="K994" s="36"/>
    </row>
    <row r="995" ht="31" customHeight="1" spans="1:11">
      <c r="A995" s="19">
        <v>991</v>
      </c>
      <c r="B995" s="20" t="s">
        <v>928</v>
      </c>
      <c r="C995" s="20" t="s">
        <v>1071</v>
      </c>
      <c r="D995" s="20" t="s">
        <v>1097</v>
      </c>
      <c r="E995" s="21" t="s">
        <v>17</v>
      </c>
      <c r="F995" s="20" t="s">
        <v>18</v>
      </c>
      <c r="G995" s="20" t="s">
        <v>19</v>
      </c>
      <c r="H995" s="50">
        <v>45344</v>
      </c>
      <c r="I995" s="19">
        <v>600</v>
      </c>
      <c r="J995" s="24" t="s">
        <v>20</v>
      </c>
      <c r="K995" s="36"/>
    </row>
    <row r="996" ht="31" customHeight="1" spans="1:11">
      <c r="A996" s="19">
        <v>992</v>
      </c>
      <c r="B996" s="20" t="s">
        <v>928</v>
      </c>
      <c r="C996" s="20" t="s">
        <v>1071</v>
      </c>
      <c r="D996" s="20" t="s">
        <v>1098</v>
      </c>
      <c r="E996" s="21" t="s">
        <v>17</v>
      </c>
      <c r="F996" s="20" t="s">
        <v>18</v>
      </c>
      <c r="G996" s="20" t="s">
        <v>19</v>
      </c>
      <c r="H996" s="50">
        <v>45345</v>
      </c>
      <c r="I996" s="19">
        <v>600</v>
      </c>
      <c r="J996" s="24" t="s">
        <v>20</v>
      </c>
      <c r="K996" s="36"/>
    </row>
    <row r="997" ht="31" customHeight="1" spans="1:11">
      <c r="A997" s="19">
        <v>993</v>
      </c>
      <c r="B997" s="20" t="s">
        <v>928</v>
      </c>
      <c r="C997" s="20" t="s">
        <v>1071</v>
      </c>
      <c r="D997" s="20" t="s">
        <v>1099</v>
      </c>
      <c r="E997" s="21" t="s">
        <v>17</v>
      </c>
      <c r="F997" s="20" t="s">
        <v>18</v>
      </c>
      <c r="G997" s="20" t="s">
        <v>19</v>
      </c>
      <c r="H997" s="50">
        <v>45367</v>
      </c>
      <c r="I997" s="19">
        <v>600</v>
      </c>
      <c r="J997" s="24" t="s">
        <v>20</v>
      </c>
      <c r="K997" s="36"/>
    </row>
    <row r="998" ht="31" customHeight="1" spans="1:11">
      <c r="A998" s="19">
        <v>994</v>
      </c>
      <c r="B998" s="20" t="s">
        <v>928</v>
      </c>
      <c r="C998" s="20" t="s">
        <v>1071</v>
      </c>
      <c r="D998" s="20" t="s">
        <v>1100</v>
      </c>
      <c r="E998" s="21" t="s">
        <v>17</v>
      </c>
      <c r="F998" s="20" t="s">
        <v>18</v>
      </c>
      <c r="G998" s="20" t="s">
        <v>19</v>
      </c>
      <c r="H998" s="50">
        <v>45352</v>
      </c>
      <c r="I998" s="19">
        <v>600</v>
      </c>
      <c r="J998" s="24" t="s">
        <v>20</v>
      </c>
      <c r="K998" s="36"/>
    </row>
    <row r="999" ht="31" customHeight="1" spans="1:11">
      <c r="A999" s="19">
        <v>995</v>
      </c>
      <c r="B999" s="20" t="s">
        <v>928</v>
      </c>
      <c r="C999" s="20" t="s">
        <v>1071</v>
      </c>
      <c r="D999" s="20" t="s">
        <v>1101</v>
      </c>
      <c r="E999" s="21" t="s">
        <v>17</v>
      </c>
      <c r="F999" s="20" t="s">
        <v>18</v>
      </c>
      <c r="G999" s="20" t="s">
        <v>69</v>
      </c>
      <c r="H999" s="50">
        <v>45323</v>
      </c>
      <c r="I999" s="19">
        <v>800</v>
      </c>
      <c r="J999" s="24" t="s">
        <v>20</v>
      </c>
      <c r="K999" s="36"/>
    </row>
    <row r="1000" ht="31" customHeight="1" spans="1:11">
      <c r="A1000" s="19">
        <v>996</v>
      </c>
      <c r="B1000" s="20" t="s">
        <v>928</v>
      </c>
      <c r="C1000" s="20" t="s">
        <v>1071</v>
      </c>
      <c r="D1000" s="20" t="s">
        <v>1102</v>
      </c>
      <c r="E1000" s="21" t="s">
        <v>17</v>
      </c>
      <c r="F1000" s="20" t="s">
        <v>18</v>
      </c>
      <c r="G1000" s="20" t="s">
        <v>69</v>
      </c>
      <c r="H1000" s="50">
        <v>45412</v>
      </c>
      <c r="I1000" s="19">
        <v>800</v>
      </c>
      <c r="J1000" s="24" t="s">
        <v>20</v>
      </c>
      <c r="K1000" s="36"/>
    </row>
    <row r="1001" ht="31" customHeight="1" spans="1:11">
      <c r="A1001" s="19">
        <v>997</v>
      </c>
      <c r="B1001" s="20" t="s">
        <v>928</v>
      </c>
      <c r="C1001" s="20" t="s">
        <v>1071</v>
      </c>
      <c r="D1001" s="20" t="s">
        <v>1103</v>
      </c>
      <c r="E1001" s="21" t="s">
        <v>17</v>
      </c>
      <c r="F1001" s="20" t="s">
        <v>18</v>
      </c>
      <c r="G1001" s="20" t="s">
        <v>19</v>
      </c>
      <c r="H1001" s="50">
        <v>45421</v>
      </c>
      <c r="I1001" s="19">
        <v>600</v>
      </c>
      <c r="J1001" s="24" t="s">
        <v>20</v>
      </c>
      <c r="K1001" s="36"/>
    </row>
    <row r="1002" ht="31" customHeight="1" spans="1:11">
      <c r="A1002" s="19">
        <v>998</v>
      </c>
      <c r="B1002" s="20" t="s">
        <v>928</v>
      </c>
      <c r="C1002" s="20" t="s">
        <v>1071</v>
      </c>
      <c r="D1002" s="20" t="s">
        <v>1104</v>
      </c>
      <c r="E1002" s="21" t="s">
        <v>17</v>
      </c>
      <c r="F1002" s="20" t="s">
        <v>18</v>
      </c>
      <c r="G1002" s="20" t="s">
        <v>19</v>
      </c>
      <c r="H1002" s="50">
        <v>45467</v>
      </c>
      <c r="I1002" s="19">
        <v>600</v>
      </c>
      <c r="J1002" s="24" t="s">
        <v>20</v>
      </c>
      <c r="K1002" s="36"/>
    </row>
    <row r="1003" ht="31" customHeight="1" spans="1:11">
      <c r="A1003" s="19">
        <v>999</v>
      </c>
      <c r="B1003" s="20" t="s">
        <v>928</v>
      </c>
      <c r="C1003" s="20" t="s">
        <v>1071</v>
      </c>
      <c r="D1003" s="20" t="s">
        <v>1105</v>
      </c>
      <c r="E1003" s="21" t="s">
        <v>17</v>
      </c>
      <c r="F1003" s="20" t="s">
        <v>18</v>
      </c>
      <c r="G1003" s="20" t="s">
        <v>19</v>
      </c>
      <c r="H1003" s="50">
        <v>45342</v>
      </c>
      <c r="I1003" s="19">
        <v>600</v>
      </c>
      <c r="J1003" s="24" t="s">
        <v>20</v>
      </c>
      <c r="K1003" s="36"/>
    </row>
    <row r="1004" ht="31" customHeight="1" spans="1:11">
      <c r="A1004" s="19">
        <v>1000</v>
      </c>
      <c r="B1004" s="20" t="s">
        <v>928</v>
      </c>
      <c r="C1004" s="20" t="s">
        <v>1071</v>
      </c>
      <c r="D1004" s="20" t="s">
        <v>1106</v>
      </c>
      <c r="E1004" s="21" t="s">
        <v>17</v>
      </c>
      <c r="F1004" s="20" t="s">
        <v>18</v>
      </c>
      <c r="G1004" s="20" t="s">
        <v>55</v>
      </c>
      <c r="H1004" s="50">
        <v>45323</v>
      </c>
      <c r="I1004" s="19">
        <v>800</v>
      </c>
      <c r="J1004" s="24" t="s">
        <v>20</v>
      </c>
      <c r="K1004" s="36"/>
    </row>
    <row r="1005" ht="31" customHeight="1" spans="1:11">
      <c r="A1005" s="19">
        <v>1001</v>
      </c>
      <c r="B1005" s="20" t="s">
        <v>928</v>
      </c>
      <c r="C1005" s="20" t="s">
        <v>1071</v>
      </c>
      <c r="D1005" s="20" t="s">
        <v>1107</v>
      </c>
      <c r="E1005" s="21" t="s">
        <v>17</v>
      </c>
      <c r="F1005" s="20" t="s">
        <v>18</v>
      </c>
      <c r="G1005" s="20" t="s">
        <v>19</v>
      </c>
      <c r="H1005" s="50">
        <v>45356</v>
      </c>
      <c r="I1005" s="19">
        <v>600</v>
      </c>
      <c r="J1005" s="24" t="s">
        <v>20</v>
      </c>
      <c r="K1005" s="36"/>
    </row>
    <row r="1006" ht="31" customHeight="1" spans="1:11">
      <c r="A1006" s="19">
        <v>1002</v>
      </c>
      <c r="B1006" s="20" t="s">
        <v>928</v>
      </c>
      <c r="C1006" s="20" t="s">
        <v>1071</v>
      </c>
      <c r="D1006" s="20" t="s">
        <v>1108</v>
      </c>
      <c r="E1006" s="21" t="s">
        <v>17</v>
      </c>
      <c r="F1006" s="20" t="s">
        <v>18</v>
      </c>
      <c r="G1006" s="20" t="s">
        <v>98</v>
      </c>
      <c r="H1006" s="50">
        <v>45340</v>
      </c>
      <c r="I1006" s="19">
        <v>800</v>
      </c>
      <c r="J1006" s="24" t="s">
        <v>20</v>
      </c>
      <c r="K1006" s="36"/>
    </row>
    <row r="1007" ht="31" customHeight="1" spans="1:11">
      <c r="A1007" s="19">
        <v>1003</v>
      </c>
      <c r="B1007" s="20" t="s">
        <v>928</v>
      </c>
      <c r="C1007" s="20" t="s">
        <v>1071</v>
      </c>
      <c r="D1007" s="20" t="s">
        <v>1109</v>
      </c>
      <c r="E1007" s="21" t="s">
        <v>17</v>
      </c>
      <c r="F1007" s="20" t="s">
        <v>18</v>
      </c>
      <c r="G1007" s="20" t="s">
        <v>98</v>
      </c>
      <c r="H1007" s="50">
        <v>45340</v>
      </c>
      <c r="I1007" s="19">
        <v>800</v>
      </c>
      <c r="J1007" s="24" t="s">
        <v>20</v>
      </c>
      <c r="K1007" s="36"/>
    </row>
    <row r="1008" ht="31" customHeight="1" spans="1:11">
      <c r="A1008" s="19">
        <v>1004</v>
      </c>
      <c r="B1008" s="20" t="s">
        <v>928</v>
      </c>
      <c r="C1008" s="20" t="s">
        <v>1071</v>
      </c>
      <c r="D1008" s="20" t="s">
        <v>1110</v>
      </c>
      <c r="E1008" s="21" t="s">
        <v>17</v>
      </c>
      <c r="F1008" s="20" t="s">
        <v>18</v>
      </c>
      <c r="G1008" s="20" t="s">
        <v>19</v>
      </c>
      <c r="H1008" s="50">
        <v>45342</v>
      </c>
      <c r="I1008" s="19">
        <v>600</v>
      </c>
      <c r="J1008" s="24" t="s">
        <v>20</v>
      </c>
      <c r="K1008" s="36"/>
    </row>
    <row r="1009" ht="31" customHeight="1" spans="1:11">
      <c r="A1009" s="19">
        <v>1005</v>
      </c>
      <c r="B1009" s="20" t="s">
        <v>928</v>
      </c>
      <c r="C1009" s="20" t="s">
        <v>1071</v>
      </c>
      <c r="D1009" s="20" t="s">
        <v>1111</v>
      </c>
      <c r="E1009" s="21" t="s">
        <v>17</v>
      </c>
      <c r="F1009" s="20" t="s">
        <v>18</v>
      </c>
      <c r="G1009" s="20" t="s">
        <v>19</v>
      </c>
      <c r="H1009" s="50">
        <v>45340</v>
      </c>
      <c r="I1009" s="19">
        <v>600</v>
      </c>
      <c r="J1009" s="24" t="s">
        <v>20</v>
      </c>
      <c r="K1009" s="36"/>
    </row>
    <row r="1010" ht="31" customHeight="1" spans="1:11">
      <c r="A1010" s="19">
        <v>1006</v>
      </c>
      <c r="B1010" s="20" t="s">
        <v>928</v>
      </c>
      <c r="C1010" s="20" t="s">
        <v>1071</v>
      </c>
      <c r="D1010" s="20" t="s">
        <v>1112</v>
      </c>
      <c r="E1010" s="21" t="s">
        <v>17</v>
      </c>
      <c r="F1010" s="20" t="s">
        <v>18</v>
      </c>
      <c r="G1010" s="20" t="s">
        <v>19</v>
      </c>
      <c r="H1010" s="50">
        <v>45292</v>
      </c>
      <c r="I1010" s="19">
        <v>600</v>
      </c>
      <c r="J1010" s="24" t="s">
        <v>20</v>
      </c>
      <c r="K1010" s="36"/>
    </row>
    <row r="1011" ht="31" customHeight="1" spans="1:11">
      <c r="A1011" s="19">
        <v>1007</v>
      </c>
      <c r="B1011" s="20" t="s">
        <v>928</v>
      </c>
      <c r="C1011" s="20" t="s">
        <v>1071</v>
      </c>
      <c r="D1011" s="20" t="s">
        <v>1113</v>
      </c>
      <c r="E1011" s="21" t="s">
        <v>17</v>
      </c>
      <c r="F1011" s="20" t="s">
        <v>18</v>
      </c>
      <c r="G1011" s="20" t="s">
        <v>19</v>
      </c>
      <c r="H1011" s="50">
        <v>45342</v>
      </c>
      <c r="I1011" s="19">
        <v>600</v>
      </c>
      <c r="J1011" s="24" t="s">
        <v>20</v>
      </c>
      <c r="K1011" s="36"/>
    </row>
    <row r="1012" ht="31" customHeight="1" spans="1:11">
      <c r="A1012" s="19">
        <v>1008</v>
      </c>
      <c r="B1012" s="20" t="s">
        <v>928</v>
      </c>
      <c r="C1012" s="20" t="s">
        <v>1071</v>
      </c>
      <c r="D1012" s="20" t="s">
        <v>1114</v>
      </c>
      <c r="E1012" s="21" t="s">
        <v>17</v>
      </c>
      <c r="F1012" s="20" t="s">
        <v>18</v>
      </c>
      <c r="G1012" s="20" t="s">
        <v>19</v>
      </c>
      <c r="H1012" s="50">
        <v>45342</v>
      </c>
      <c r="I1012" s="19">
        <v>600</v>
      </c>
      <c r="J1012" s="24" t="s">
        <v>20</v>
      </c>
      <c r="K1012" s="36"/>
    </row>
    <row r="1013" ht="31" customHeight="1" spans="1:11">
      <c r="A1013" s="19">
        <v>1009</v>
      </c>
      <c r="B1013" s="20" t="s">
        <v>928</v>
      </c>
      <c r="C1013" s="20" t="s">
        <v>1071</v>
      </c>
      <c r="D1013" s="20" t="s">
        <v>1115</v>
      </c>
      <c r="E1013" s="21" t="s">
        <v>17</v>
      </c>
      <c r="F1013" s="20" t="s">
        <v>18</v>
      </c>
      <c r="G1013" s="20" t="s">
        <v>19</v>
      </c>
      <c r="H1013" s="50">
        <v>45347</v>
      </c>
      <c r="I1013" s="19">
        <v>600</v>
      </c>
      <c r="J1013" s="24" t="s">
        <v>20</v>
      </c>
      <c r="K1013" s="36"/>
    </row>
    <row r="1014" ht="31" customHeight="1" spans="1:11">
      <c r="A1014" s="19">
        <v>1010</v>
      </c>
      <c r="B1014" s="20" t="s">
        <v>928</v>
      </c>
      <c r="C1014" s="20" t="s">
        <v>1071</v>
      </c>
      <c r="D1014" s="20" t="s">
        <v>1116</v>
      </c>
      <c r="E1014" s="21" t="s">
        <v>17</v>
      </c>
      <c r="F1014" s="20" t="s">
        <v>18</v>
      </c>
      <c r="G1014" s="20" t="s">
        <v>19</v>
      </c>
      <c r="H1014" s="50">
        <v>45340</v>
      </c>
      <c r="I1014" s="19">
        <v>600</v>
      </c>
      <c r="J1014" s="24" t="s">
        <v>20</v>
      </c>
      <c r="K1014" s="36"/>
    </row>
    <row r="1015" ht="31" customHeight="1" spans="1:11">
      <c r="A1015" s="19">
        <v>1011</v>
      </c>
      <c r="B1015" s="20" t="s">
        <v>928</v>
      </c>
      <c r="C1015" s="20" t="s">
        <v>1071</v>
      </c>
      <c r="D1015" s="20" t="s">
        <v>1117</v>
      </c>
      <c r="E1015" s="21" t="s">
        <v>17</v>
      </c>
      <c r="F1015" s="20" t="s">
        <v>18</v>
      </c>
      <c r="G1015" s="20" t="s">
        <v>19</v>
      </c>
      <c r="H1015" s="50">
        <v>45292</v>
      </c>
      <c r="I1015" s="19">
        <v>600</v>
      </c>
      <c r="J1015" s="24" t="s">
        <v>20</v>
      </c>
      <c r="K1015" s="36"/>
    </row>
    <row r="1016" ht="31" customHeight="1" spans="1:11">
      <c r="A1016" s="19">
        <v>1012</v>
      </c>
      <c r="B1016" s="20" t="s">
        <v>928</v>
      </c>
      <c r="C1016" s="20" t="s">
        <v>1071</v>
      </c>
      <c r="D1016" s="20" t="s">
        <v>1118</v>
      </c>
      <c r="E1016" s="21" t="s">
        <v>17</v>
      </c>
      <c r="F1016" s="20" t="s">
        <v>18</v>
      </c>
      <c r="G1016" s="20" t="s">
        <v>29</v>
      </c>
      <c r="H1016" s="50">
        <v>45383</v>
      </c>
      <c r="I1016" s="19">
        <v>800</v>
      </c>
      <c r="J1016" s="24" t="s">
        <v>20</v>
      </c>
      <c r="K1016" s="36"/>
    </row>
    <row r="1017" ht="31" customHeight="1" spans="1:11">
      <c r="A1017" s="19">
        <v>1013</v>
      </c>
      <c r="B1017" s="20" t="s">
        <v>928</v>
      </c>
      <c r="C1017" s="20" t="s">
        <v>1071</v>
      </c>
      <c r="D1017" s="20" t="s">
        <v>1119</v>
      </c>
      <c r="E1017" s="21" t="s">
        <v>17</v>
      </c>
      <c r="F1017" s="20" t="s">
        <v>18</v>
      </c>
      <c r="G1017" s="20" t="s">
        <v>19</v>
      </c>
      <c r="H1017" s="50">
        <v>45378</v>
      </c>
      <c r="I1017" s="19">
        <v>600</v>
      </c>
      <c r="J1017" s="24" t="s">
        <v>20</v>
      </c>
      <c r="K1017" s="36"/>
    </row>
    <row r="1018" ht="31" customHeight="1" spans="1:11">
      <c r="A1018" s="19">
        <v>1014</v>
      </c>
      <c r="B1018" s="20" t="s">
        <v>928</v>
      </c>
      <c r="C1018" s="20" t="s">
        <v>1071</v>
      </c>
      <c r="D1018" s="20" t="s">
        <v>1120</v>
      </c>
      <c r="E1018" s="21" t="s">
        <v>17</v>
      </c>
      <c r="F1018" s="20" t="s">
        <v>18</v>
      </c>
      <c r="G1018" s="20" t="s">
        <v>19</v>
      </c>
      <c r="H1018" s="50">
        <v>45339</v>
      </c>
      <c r="I1018" s="19">
        <v>600</v>
      </c>
      <c r="J1018" s="24" t="s">
        <v>20</v>
      </c>
      <c r="K1018" s="36"/>
    </row>
    <row r="1019" ht="31" customHeight="1" spans="1:11">
      <c r="A1019" s="19">
        <v>1015</v>
      </c>
      <c r="B1019" s="20" t="s">
        <v>928</v>
      </c>
      <c r="C1019" s="20" t="s">
        <v>1071</v>
      </c>
      <c r="D1019" s="20" t="s">
        <v>1121</v>
      </c>
      <c r="E1019" s="21" t="s">
        <v>17</v>
      </c>
      <c r="F1019" s="20" t="s">
        <v>18</v>
      </c>
      <c r="G1019" s="20" t="s">
        <v>19</v>
      </c>
      <c r="H1019" s="50">
        <v>45339</v>
      </c>
      <c r="I1019" s="19">
        <v>600</v>
      </c>
      <c r="J1019" s="24" t="s">
        <v>20</v>
      </c>
      <c r="K1019" s="36"/>
    </row>
    <row r="1020" s="6" customFormat="1" ht="31" customHeight="1" spans="1:11">
      <c r="A1020" s="19">
        <v>1016</v>
      </c>
      <c r="B1020" s="20" t="s">
        <v>928</v>
      </c>
      <c r="C1020" s="20" t="s">
        <v>1071</v>
      </c>
      <c r="D1020" s="20" t="s">
        <v>1122</v>
      </c>
      <c r="E1020" s="21" t="s">
        <v>17</v>
      </c>
      <c r="F1020" s="20" t="s">
        <v>18</v>
      </c>
      <c r="G1020" s="20" t="s">
        <v>29</v>
      </c>
      <c r="H1020" s="50">
        <v>45339</v>
      </c>
      <c r="I1020" s="19">
        <v>800</v>
      </c>
      <c r="J1020" s="24" t="s">
        <v>20</v>
      </c>
      <c r="K1020" s="25"/>
    </row>
    <row r="1021" ht="31" customHeight="1" spans="1:11">
      <c r="A1021" s="19">
        <v>1017</v>
      </c>
      <c r="B1021" s="20" t="s">
        <v>928</v>
      </c>
      <c r="C1021" s="20" t="s">
        <v>1071</v>
      </c>
      <c r="D1021" s="20" t="s">
        <v>1123</v>
      </c>
      <c r="E1021" s="21" t="s">
        <v>17</v>
      </c>
      <c r="F1021" s="20" t="s">
        <v>18</v>
      </c>
      <c r="G1021" s="20" t="s">
        <v>29</v>
      </c>
      <c r="H1021" s="50">
        <v>45339</v>
      </c>
      <c r="I1021" s="19">
        <v>800</v>
      </c>
      <c r="J1021" s="24" t="s">
        <v>20</v>
      </c>
      <c r="K1021" s="36"/>
    </row>
    <row r="1022" ht="31" customHeight="1" spans="1:11">
      <c r="A1022" s="19">
        <v>1018</v>
      </c>
      <c r="B1022" s="20" t="s">
        <v>928</v>
      </c>
      <c r="C1022" s="20" t="s">
        <v>1071</v>
      </c>
      <c r="D1022" s="20" t="s">
        <v>1124</v>
      </c>
      <c r="E1022" s="21" t="s">
        <v>17</v>
      </c>
      <c r="F1022" s="20" t="s">
        <v>18</v>
      </c>
      <c r="G1022" s="20" t="s">
        <v>464</v>
      </c>
      <c r="H1022" s="50">
        <v>45341</v>
      </c>
      <c r="I1022" s="19">
        <v>800</v>
      </c>
      <c r="J1022" s="24" t="s">
        <v>20</v>
      </c>
      <c r="K1022" s="36"/>
    </row>
    <row r="1023" ht="31" customHeight="1" spans="1:11">
      <c r="A1023" s="19">
        <v>1019</v>
      </c>
      <c r="B1023" s="20" t="s">
        <v>928</v>
      </c>
      <c r="C1023" s="20" t="s">
        <v>1071</v>
      </c>
      <c r="D1023" s="20" t="s">
        <v>1125</v>
      </c>
      <c r="E1023" s="21" t="s">
        <v>17</v>
      </c>
      <c r="F1023" s="20" t="s">
        <v>18</v>
      </c>
      <c r="G1023" s="20" t="s">
        <v>19</v>
      </c>
      <c r="H1023" s="50">
        <v>45357</v>
      </c>
      <c r="I1023" s="19">
        <v>600</v>
      </c>
      <c r="J1023" s="24" t="s">
        <v>20</v>
      </c>
      <c r="K1023" s="36"/>
    </row>
    <row r="1024" ht="31" customHeight="1" spans="1:11">
      <c r="A1024" s="19">
        <v>1020</v>
      </c>
      <c r="B1024" s="20" t="s">
        <v>928</v>
      </c>
      <c r="C1024" s="20" t="s">
        <v>1071</v>
      </c>
      <c r="D1024" s="20" t="s">
        <v>1126</v>
      </c>
      <c r="E1024" s="21" t="s">
        <v>17</v>
      </c>
      <c r="F1024" s="20" t="s">
        <v>18</v>
      </c>
      <c r="G1024" s="20" t="s">
        <v>19</v>
      </c>
      <c r="H1024" s="50">
        <v>45357</v>
      </c>
      <c r="I1024" s="19">
        <v>600</v>
      </c>
      <c r="J1024" s="24" t="s">
        <v>20</v>
      </c>
      <c r="K1024" s="36"/>
    </row>
    <row r="1025" ht="31" customHeight="1" spans="1:11">
      <c r="A1025" s="19">
        <v>1021</v>
      </c>
      <c r="B1025" s="20" t="s">
        <v>928</v>
      </c>
      <c r="C1025" s="20" t="s">
        <v>1071</v>
      </c>
      <c r="D1025" s="20" t="s">
        <v>1127</v>
      </c>
      <c r="E1025" s="21" t="s">
        <v>17</v>
      </c>
      <c r="F1025" s="20" t="s">
        <v>18</v>
      </c>
      <c r="G1025" s="20" t="s">
        <v>19</v>
      </c>
      <c r="H1025" s="50">
        <v>45357</v>
      </c>
      <c r="I1025" s="19">
        <v>600</v>
      </c>
      <c r="J1025" s="24" t="s">
        <v>20</v>
      </c>
      <c r="K1025" s="36"/>
    </row>
    <row r="1026" ht="31" customHeight="1" spans="1:11">
      <c r="A1026" s="19">
        <v>1022</v>
      </c>
      <c r="B1026" s="20" t="s">
        <v>928</v>
      </c>
      <c r="C1026" s="20" t="s">
        <v>1071</v>
      </c>
      <c r="D1026" s="20" t="s">
        <v>1128</v>
      </c>
      <c r="E1026" s="21" t="s">
        <v>17</v>
      </c>
      <c r="F1026" s="20" t="s">
        <v>18</v>
      </c>
      <c r="G1026" s="20" t="s">
        <v>48</v>
      </c>
      <c r="H1026" s="50">
        <v>45353</v>
      </c>
      <c r="I1026" s="19">
        <v>800</v>
      </c>
      <c r="J1026" s="24" t="s">
        <v>20</v>
      </c>
      <c r="K1026" s="36"/>
    </row>
    <row r="1027" ht="31" customHeight="1" spans="1:11">
      <c r="A1027" s="19">
        <v>1023</v>
      </c>
      <c r="B1027" s="20" t="s">
        <v>928</v>
      </c>
      <c r="C1027" s="20" t="s">
        <v>1071</v>
      </c>
      <c r="D1027" s="20" t="s">
        <v>1129</v>
      </c>
      <c r="E1027" s="21" t="s">
        <v>17</v>
      </c>
      <c r="F1027" s="20" t="s">
        <v>18</v>
      </c>
      <c r="G1027" s="20" t="s">
        <v>19</v>
      </c>
      <c r="H1027" s="50">
        <v>45347</v>
      </c>
      <c r="I1027" s="19">
        <v>600</v>
      </c>
      <c r="J1027" s="24" t="s">
        <v>20</v>
      </c>
      <c r="K1027" s="36"/>
    </row>
    <row r="1028" ht="31" customHeight="1" spans="1:11">
      <c r="A1028" s="19">
        <v>1024</v>
      </c>
      <c r="B1028" s="20" t="s">
        <v>928</v>
      </c>
      <c r="C1028" s="20" t="s">
        <v>1071</v>
      </c>
      <c r="D1028" s="20" t="s">
        <v>1130</v>
      </c>
      <c r="E1028" s="21" t="s">
        <v>17</v>
      </c>
      <c r="F1028" s="20" t="s">
        <v>18</v>
      </c>
      <c r="G1028" s="20" t="s">
        <v>19</v>
      </c>
      <c r="H1028" s="50">
        <v>45347</v>
      </c>
      <c r="I1028" s="19">
        <v>600</v>
      </c>
      <c r="J1028" s="24" t="s">
        <v>20</v>
      </c>
      <c r="K1028" s="36"/>
    </row>
    <row r="1029" ht="31" customHeight="1" spans="1:11">
      <c r="A1029" s="19">
        <v>1025</v>
      </c>
      <c r="B1029" s="20" t="s">
        <v>928</v>
      </c>
      <c r="C1029" s="20" t="s">
        <v>1071</v>
      </c>
      <c r="D1029" s="20" t="s">
        <v>1131</v>
      </c>
      <c r="E1029" s="21" t="s">
        <v>17</v>
      </c>
      <c r="F1029" s="20" t="s">
        <v>18</v>
      </c>
      <c r="G1029" s="20" t="s">
        <v>19</v>
      </c>
      <c r="H1029" s="50">
        <v>45347</v>
      </c>
      <c r="I1029" s="19">
        <v>600</v>
      </c>
      <c r="J1029" s="24" t="s">
        <v>20</v>
      </c>
      <c r="K1029" s="36"/>
    </row>
    <row r="1030" ht="31" customHeight="1" spans="1:11">
      <c r="A1030" s="19">
        <v>1026</v>
      </c>
      <c r="B1030" s="20" t="s">
        <v>928</v>
      </c>
      <c r="C1030" s="20" t="s">
        <v>1071</v>
      </c>
      <c r="D1030" s="20" t="s">
        <v>1132</v>
      </c>
      <c r="E1030" s="21" t="s">
        <v>17</v>
      </c>
      <c r="F1030" s="20" t="s">
        <v>18</v>
      </c>
      <c r="G1030" s="20" t="s">
        <v>19</v>
      </c>
      <c r="H1030" s="50">
        <v>45345</v>
      </c>
      <c r="I1030" s="19">
        <v>600</v>
      </c>
      <c r="J1030" s="24" t="s">
        <v>20</v>
      </c>
      <c r="K1030" s="36"/>
    </row>
    <row r="1031" ht="31" customHeight="1" spans="1:11">
      <c r="A1031" s="19">
        <v>1027</v>
      </c>
      <c r="B1031" s="20" t="s">
        <v>928</v>
      </c>
      <c r="C1031" s="20" t="s">
        <v>1071</v>
      </c>
      <c r="D1031" s="20" t="s">
        <v>1133</v>
      </c>
      <c r="E1031" s="21" t="s">
        <v>17</v>
      </c>
      <c r="F1031" s="20" t="s">
        <v>18</v>
      </c>
      <c r="G1031" s="20" t="s">
        <v>19</v>
      </c>
      <c r="H1031" s="50">
        <v>45340</v>
      </c>
      <c r="I1031" s="19">
        <v>600</v>
      </c>
      <c r="J1031" s="24" t="s">
        <v>20</v>
      </c>
      <c r="K1031" s="36"/>
    </row>
    <row r="1032" ht="31" customHeight="1" spans="1:11">
      <c r="A1032" s="19">
        <v>1028</v>
      </c>
      <c r="B1032" s="20" t="s">
        <v>928</v>
      </c>
      <c r="C1032" s="20" t="s">
        <v>1071</v>
      </c>
      <c r="D1032" s="20" t="s">
        <v>1134</v>
      </c>
      <c r="E1032" s="21" t="s">
        <v>17</v>
      </c>
      <c r="F1032" s="20" t="s">
        <v>18</v>
      </c>
      <c r="G1032" s="20" t="s">
        <v>19</v>
      </c>
      <c r="H1032" s="50">
        <v>45457</v>
      </c>
      <c r="I1032" s="19">
        <v>600</v>
      </c>
      <c r="J1032" s="24" t="s">
        <v>20</v>
      </c>
      <c r="K1032" s="36"/>
    </row>
    <row r="1033" ht="31" customHeight="1" spans="1:11">
      <c r="A1033" s="19">
        <v>1029</v>
      </c>
      <c r="B1033" s="20" t="s">
        <v>928</v>
      </c>
      <c r="C1033" s="20" t="s">
        <v>1071</v>
      </c>
      <c r="D1033" s="20" t="s">
        <v>1135</v>
      </c>
      <c r="E1033" s="21" t="s">
        <v>17</v>
      </c>
      <c r="F1033" s="20" t="s">
        <v>18</v>
      </c>
      <c r="G1033" s="20" t="s">
        <v>19</v>
      </c>
      <c r="H1033" s="50">
        <v>45457</v>
      </c>
      <c r="I1033" s="19">
        <v>600</v>
      </c>
      <c r="J1033" s="24" t="s">
        <v>20</v>
      </c>
      <c r="K1033" s="36"/>
    </row>
    <row r="1034" ht="31" customHeight="1" spans="1:11">
      <c r="A1034" s="19">
        <v>1030</v>
      </c>
      <c r="B1034" s="20" t="s">
        <v>928</v>
      </c>
      <c r="C1034" s="20" t="s">
        <v>1071</v>
      </c>
      <c r="D1034" s="20" t="s">
        <v>1136</v>
      </c>
      <c r="E1034" s="21" t="s">
        <v>17</v>
      </c>
      <c r="F1034" s="20" t="s">
        <v>18</v>
      </c>
      <c r="G1034" s="20" t="s">
        <v>19</v>
      </c>
      <c r="H1034" s="50">
        <v>45339</v>
      </c>
      <c r="I1034" s="19">
        <v>600</v>
      </c>
      <c r="J1034" s="24" t="s">
        <v>20</v>
      </c>
      <c r="K1034" s="36"/>
    </row>
    <row r="1035" ht="31" customHeight="1" spans="1:11">
      <c r="A1035" s="19">
        <v>1031</v>
      </c>
      <c r="B1035" s="20" t="s">
        <v>928</v>
      </c>
      <c r="C1035" s="20" t="s">
        <v>1071</v>
      </c>
      <c r="D1035" s="20" t="s">
        <v>1137</v>
      </c>
      <c r="E1035" s="21" t="s">
        <v>17</v>
      </c>
      <c r="F1035" s="20" t="s">
        <v>18</v>
      </c>
      <c r="G1035" s="20" t="s">
        <v>19</v>
      </c>
      <c r="H1035" s="50">
        <v>45348</v>
      </c>
      <c r="I1035" s="19">
        <v>600</v>
      </c>
      <c r="J1035" s="24" t="s">
        <v>20</v>
      </c>
      <c r="K1035" s="36"/>
    </row>
    <row r="1036" ht="31" customHeight="1" spans="1:11">
      <c r="A1036" s="19">
        <v>1032</v>
      </c>
      <c r="B1036" s="20" t="s">
        <v>928</v>
      </c>
      <c r="C1036" s="20" t="s">
        <v>1071</v>
      </c>
      <c r="D1036" s="20" t="s">
        <v>1138</v>
      </c>
      <c r="E1036" s="21" t="s">
        <v>17</v>
      </c>
      <c r="F1036" s="20" t="s">
        <v>18</v>
      </c>
      <c r="G1036" s="20" t="s">
        <v>19</v>
      </c>
      <c r="H1036" s="50">
        <v>45348</v>
      </c>
      <c r="I1036" s="19">
        <v>600</v>
      </c>
      <c r="J1036" s="24" t="s">
        <v>20</v>
      </c>
      <c r="K1036" s="36"/>
    </row>
    <row r="1037" ht="31" customHeight="1" spans="1:11">
      <c r="A1037" s="19">
        <v>1033</v>
      </c>
      <c r="B1037" s="20" t="s">
        <v>928</v>
      </c>
      <c r="C1037" s="20" t="s">
        <v>1071</v>
      </c>
      <c r="D1037" s="20" t="s">
        <v>1139</v>
      </c>
      <c r="E1037" s="21" t="s">
        <v>17</v>
      </c>
      <c r="F1037" s="20" t="s">
        <v>18</v>
      </c>
      <c r="G1037" s="20" t="s">
        <v>301</v>
      </c>
      <c r="H1037" s="50">
        <v>45339</v>
      </c>
      <c r="I1037" s="19">
        <v>800</v>
      </c>
      <c r="J1037" s="24" t="s">
        <v>20</v>
      </c>
      <c r="K1037" s="36"/>
    </row>
    <row r="1038" ht="31" customHeight="1" spans="1:11">
      <c r="A1038" s="19">
        <v>1034</v>
      </c>
      <c r="B1038" s="20" t="s">
        <v>928</v>
      </c>
      <c r="C1038" s="20" t="s">
        <v>1071</v>
      </c>
      <c r="D1038" s="20" t="s">
        <v>1140</v>
      </c>
      <c r="E1038" s="21" t="s">
        <v>17</v>
      </c>
      <c r="F1038" s="20" t="s">
        <v>18</v>
      </c>
      <c r="G1038" s="20" t="s">
        <v>19</v>
      </c>
      <c r="H1038" s="50">
        <v>45341</v>
      </c>
      <c r="I1038" s="19">
        <v>600</v>
      </c>
      <c r="J1038" s="24" t="s">
        <v>20</v>
      </c>
      <c r="K1038" s="36"/>
    </row>
    <row r="1039" ht="31" customHeight="1" spans="1:11">
      <c r="A1039" s="19">
        <v>1035</v>
      </c>
      <c r="B1039" s="20" t="s">
        <v>928</v>
      </c>
      <c r="C1039" s="20" t="s">
        <v>1071</v>
      </c>
      <c r="D1039" s="20" t="s">
        <v>1141</v>
      </c>
      <c r="E1039" s="21" t="s">
        <v>17</v>
      </c>
      <c r="F1039" s="20" t="s">
        <v>18</v>
      </c>
      <c r="G1039" s="20" t="s">
        <v>19</v>
      </c>
      <c r="H1039" s="50">
        <v>45397</v>
      </c>
      <c r="I1039" s="19">
        <v>600</v>
      </c>
      <c r="J1039" s="24" t="s">
        <v>20</v>
      </c>
      <c r="K1039" s="36"/>
    </row>
    <row r="1040" ht="31" customHeight="1" spans="1:11">
      <c r="A1040" s="19">
        <v>1036</v>
      </c>
      <c r="B1040" s="20" t="s">
        <v>928</v>
      </c>
      <c r="C1040" s="20" t="s">
        <v>1071</v>
      </c>
      <c r="D1040" s="20" t="s">
        <v>1142</v>
      </c>
      <c r="E1040" s="21" t="s">
        <v>17</v>
      </c>
      <c r="F1040" s="20" t="s">
        <v>18</v>
      </c>
      <c r="G1040" s="20" t="s">
        <v>19</v>
      </c>
      <c r="H1040" s="50">
        <v>45370</v>
      </c>
      <c r="I1040" s="19">
        <v>600</v>
      </c>
      <c r="J1040" s="24" t="s">
        <v>20</v>
      </c>
      <c r="K1040" s="36"/>
    </row>
    <row r="1041" ht="31" customHeight="1" spans="1:11">
      <c r="A1041" s="19">
        <v>1037</v>
      </c>
      <c r="B1041" s="20" t="s">
        <v>928</v>
      </c>
      <c r="C1041" s="20" t="s">
        <v>1071</v>
      </c>
      <c r="D1041" s="20" t="s">
        <v>1143</v>
      </c>
      <c r="E1041" s="21" t="s">
        <v>17</v>
      </c>
      <c r="F1041" s="20" t="s">
        <v>18</v>
      </c>
      <c r="G1041" s="20" t="s">
        <v>19</v>
      </c>
      <c r="H1041" s="50">
        <v>45340</v>
      </c>
      <c r="I1041" s="19">
        <v>600</v>
      </c>
      <c r="J1041" s="24" t="s">
        <v>20</v>
      </c>
      <c r="K1041" s="36"/>
    </row>
    <row r="1042" ht="31" customHeight="1" spans="1:11">
      <c r="A1042" s="19">
        <v>1038</v>
      </c>
      <c r="B1042" s="20" t="s">
        <v>928</v>
      </c>
      <c r="C1042" s="20" t="s">
        <v>1071</v>
      </c>
      <c r="D1042" s="20" t="s">
        <v>1144</v>
      </c>
      <c r="E1042" s="21" t="s">
        <v>17</v>
      </c>
      <c r="F1042" s="20" t="s">
        <v>18</v>
      </c>
      <c r="G1042" s="20" t="s">
        <v>19</v>
      </c>
      <c r="H1042" s="50">
        <v>45323</v>
      </c>
      <c r="I1042" s="19">
        <v>600</v>
      </c>
      <c r="J1042" s="24" t="s">
        <v>20</v>
      </c>
      <c r="K1042" s="36"/>
    </row>
    <row r="1043" ht="31" customHeight="1" spans="1:11">
      <c r="A1043" s="19">
        <v>1039</v>
      </c>
      <c r="B1043" s="20" t="s">
        <v>928</v>
      </c>
      <c r="C1043" s="20" t="s">
        <v>1071</v>
      </c>
      <c r="D1043" s="20" t="s">
        <v>1145</v>
      </c>
      <c r="E1043" s="21" t="s">
        <v>17</v>
      </c>
      <c r="F1043" s="20" t="s">
        <v>18</v>
      </c>
      <c r="G1043" s="20" t="s">
        <v>19</v>
      </c>
      <c r="H1043" s="50">
        <v>45323</v>
      </c>
      <c r="I1043" s="19">
        <v>600</v>
      </c>
      <c r="J1043" s="24" t="s">
        <v>20</v>
      </c>
      <c r="K1043" s="36"/>
    </row>
    <row r="1044" ht="31" customHeight="1" spans="1:11">
      <c r="A1044" s="19">
        <v>1040</v>
      </c>
      <c r="B1044" s="20" t="s">
        <v>928</v>
      </c>
      <c r="C1044" s="20" t="s">
        <v>1071</v>
      </c>
      <c r="D1044" s="20" t="s">
        <v>1146</v>
      </c>
      <c r="E1044" s="21" t="s">
        <v>17</v>
      </c>
      <c r="F1044" s="20" t="s">
        <v>18</v>
      </c>
      <c r="G1044" s="20" t="s">
        <v>19</v>
      </c>
      <c r="H1044" s="50">
        <v>45352</v>
      </c>
      <c r="I1044" s="19">
        <v>600</v>
      </c>
      <c r="J1044" s="24" t="s">
        <v>20</v>
      </c>
      <c r="K1044" s="36"/>
    </row>
    <row r="1045" ht="31" customHeight="1" spans="1:11">
      <c r="A1045" s="19">
        <v>1041</v>
      </c>
      <c r="B1045" s="20" t="s">
        <v>928</v>
      </c>
      <c r="C1045" s="20" t="s">
        <v>1071</v>
      </c>
      <c r="D1045" s="20" t="s">
        <v>1147</v>
      </c>
      <c r="E1045" s="21" t="s">
        <v>17</v>
      </c>
      <c r="F1045" s="20" t="s">
        <v>18</v>
      </c>
      <c r="G1045" s="20" t="s">
        <v>19</v>
      </c>
      <c r="H1045" s="50">
        <v>45352</v>
      </c>
      <c r="I1045" s="19">
        <v>600</v>
      </c>
      <c r="J1045" s="24" t="s">
        <v>20</v>
      </c>
      <c r="K1045" s="36"/>
    </row>
    <row r="1046" ht="31" customHeight="1" spans="1:11">
      <c r="A1046" s="19">
        <v>1042</v>
      </c>
      <c r="B1046" s="20" t="s">
        <v>928</v>
      </c>
      <c r="C1046" s="20" t="s">
        <v>1071</v>
      </c>
      <c r="D1046" s="20" t="s">
        <v>1148</v>
      </c>
      <c r="E1046" s="21" t="s">
        <v>17</v>
      </c>
      <c r="F1046" s="20" t="s">
        <v>18</v>
      </c>
      <c r="G1046" s="20" t="s">
        <v>69</v>
      </c>
      <c r="H1046" s="50">
        <v>45341</v>
      </c>
      <c r="I1046" s="19">
        <v>800</v>
      </c>
      <c r="J1046" s="24" t="s">
        <v>20</v>
      </c>
      <c r="K1046" s="36"/>
    </row>
    <row r="1047" ht="31" customHeight="1" spans="1:11">
      <c r="A1047" s="19">
        <v>1043</v>
      </c>
      <c r="B1047" s="20" t="s">
        <v>928</v>
      </c>
      <c r="C1047" s="20" t="s">
        <v>1071</v>
      </c>
      <c r="D1047" s="20" t="s">
        <v>1149</v>
      </c>
      <c r="E1047" s="21" t="s">
        <v>17</v>
      </c>
      <c r="F1047" s="20" t="s">
        <v>18</v>
      </c>
      <c r="G1047" s="20" t="s">
        <v>98</v>
      </c>
      <c r="H1047" s="50">
        <v>45383</v>
      </c>
      <c r="I1047" s="19">
        <v>800</v>
      </c>
      <c r="J1047" s="24" t="s">
        <v>20</v>
      </c>
      <c r="K1047" s="36"/>
    </row>
    <row r="1048" ht="31" customHeight="1" spans="1:11">
      <c r="A1048" s="19">
        <v>1044</v>
      </c>
      <c r="B1048" s="20" t="s">
        <v>928</v>
      </c>
      <c r="C1048" s="20" t="s">
        <v>1071</v>
      </c>
      <c r="D1048" s="20" t="s">
        <v>1150</v>
      </c>
      <c r="E1048" s="21" t="s">
        <v>17</v>
      </c>
      <c r="F1048" s="20" t="s">
        <v>18</v>
      </c>
      <c r="G1048" s="20" t="s">
        <v>19</v>
      </c>
      <c r="H1048" s="50">
        <v>45366</v>
      </c>
      <c r="I1048" s="19">
        <v>600</v>
      </c>
      <c r="J1048" s="24" t="s">
        <v>20</v>
      </c>
      <c r="K1048" s="36"/>
    </row>
    <row r="1049" ht="31" customHeight="1" spans="1:11">
      <c r="A1049" s="19">
        <v>1045</v>
      </c>
      <c r="B1049" s="20" t="s">
        <v>928</v>
      </c>
      <c r="C1049" s="20" t="s">
        <v>1071</v>
      </c>
      <c r="D1049" s="20" t="s">
        <v>1151</v>
      </c>
      <c r="E1049" s="21" t="s">
        <v>17</v>
      </c>
      <c r="F1049" s="20" t="s">
        <v>18</v>
      </c>
      <c r="G1049" s="20" t="s">
        <v>19</v>
      </c>
      <c r="H1049" s="50">
        <v>45353</v>
      </c>
      <c r="I1049" s="19">
        <v>600</v>
      </c>
      <c r="J1049" s="24" t="s">
        <v>20</v>
      </c>
      <c r="K1049" s="36"/>
    </row>
    <row r="1050" ht="31" customHeight="1" spans="1:11">
      <c r="A1050" s="19">
        <v>1046</v>
      </c>
      <c r="B1050" s="20" t="s">
        <v>928</v>
      </c>
      <c r="C1050" s="20" t="s">
        <v>1071</v>
      </c>
      <c r="D1050" s="20" t="s">
        <v>1152</v>
      </c>
      <c r="E1050" s="21" t="s">
        <v>17</v>
      </c>
      <c r="F1050" s="20" t="s">
        <v>18</v>
      </c>
      <c r="G1050" s="20" t="s">
        <v>19</v>
      </c>
      <c r="H1050" s="50">
        <v>45323</v>
      </c>
      <c r="I1050" s="19">
        <v>600</v>
      </c>
      <c r="J1050" s="24" t="s">
        <v>20</v>
      </c>
      <c r="K1050" s="36"/>
    </row>
    <row r="1051" ht="31" customHeight="1" spans="1:11">
      <c r="A1051" s="19">
        <v>1047</v>
      </c>
      <c r="B1051" s="20" t="s">
        <v>928</v>
      </c>
      <c r="C1051" s="20" t="s">
        <v>1071</v>
      </c>
      <c r="D1051" s="20" t="s">
        <v>1153</v>
      </c>
      <c r="E1051" s="21" t="s">
        <v>17</v>
      </c>
      <c r="F1051" s="20" t="s">
        <v>18</v>
      </c>
      <c r="G1051" s="20" t="s">
        <v>19</v>
      </c>
      <c r="H1051" s="50">
        <v>45339</v>
      </c>
      <c r="I1051" s="19">
        <v>600</v>
      </c>
      <c r="J1051" s="24" t="s">
        <v>20</v>
      </c>
      <c r="K1051" s="36"/>
    </row>
    <row r="1052" ht="31" customHeight="1" spans="1:11">
      <c r="A1052" s="19">
        <v>1048</v>
      </c>
      <c r="B1052" s="20" t="s">
        <v>928</v>
      </c>
      <c r="C1052" s="20" t="s">
        <v>1071</v>
      </c>
      <c r="D1052" s="20" t="s">
        <v>1154</v>
      </c>
      <c r="E1052" s="21" t="s">
        <v>17</v>
      </c>
      <c r="F1052" s="20" t="s">
        <v>18</v>
      </c>
      <c r="G1052" s="20" t="s">
        <v>19</v>
      </c>
      <c r="H1052" s="50">
        <v>45352</v>
      </c>
      <c r="I1052" s="19">
        <v>600</v>
      </c>
      <c r="J1052" s="24" t="s">
        <v>20</v>
      </c>
      <c r="K1052" s="36"/>
    </row>
    <row r="1053" ht="31" customHeight="1" spans="1:11">
      <c r="A1053" s="19">
        <v>1049</v>
      </c>
      <c r="B1053" s="20" t="s">
        <v>928</v>
      </c>
      <c r="C1053" s="20" t="s">
        <v>1071</v>
      </c>
      <c r="D1053" s="20" t="s">
        <v>1155</v>
      </c>
      <c r="E1053" s="21" t="s">
        <v>17</v>
      </c>
      <c r="F1053" s="20" t="s">
        <v>18</v>
      </c>
      <c r="G1053" s="20" t="s">
        <v>32</v>
      </c>
      <c r="H1053" s="50">
        <v>45348</v>
      </c>
      <c r="I1053" s="19">
        <v>800</v>
      </c>
      <c r="J1053" s="24" t="s">
        <v>20</v>
      </c>
      <c r="K1053" s="36"/>
    </row>
    <row r="1054" ht="31" customHeight="1" spans="1:11">
      <c r="A1054" s="19">
        <v>1050</v>
      </c>
      <c r="B1054" s="20" t="s">
        <v>928</v>
      </c>
      <c r="C1054" s="20" t="s">
        <v>1071</v>
      </c>
      <c r="D1054" s="20" t="s">
        <v>1156</v>
      </c>
      <c r="E1054" s="21" t="s">
        <v>17</v>
      </c>
      <c r="F1054" s="20" t="s">
        <v>18</v>
      </c>
      <c r="G1054" s="20" t="s">
        <v>19</v>
      </c>
      <c r="H1054" s="50">
        <v>45341</v>
      </c>
      <c r="I1054" s="19">
        <v>600</v>
      </c>
      <c r="J1054" s="24" t="s">
        <v>20</v>
      </c>
      <c r="K1054" s="36"/>
    </row>
    <row r="1055" ht="31" customHeight="1" spans="1:11">
      <c r="A1055" s="19">
        <v>1051</v>
      </c>
      <c r="B1055" s="20" t="s">
        <v>928</v>
      </c>
      <c r="C1055" s="20" t="s">
        <v>1071</v>
      </c>
      <c r="D1055" s="20" t="s">
        <v>1157</v>
      </c>
      <c r="E1055" s="21" t="s">
        <v>17</v>
      </c>
      <c r="F1055" s="20" t="s">
        <v>18</v>
      </c>
      <c r="G1055" s="20" t="s">
        <v>19</v>
      </c>
      <c r="H1055" s="50">
        <v>45292</v>
      </c>
      <c r="I1055" s="19">
        <v>600</v>
      </c>
      <c r="J1055" s="24" t="s">
        <v>20</v>
      </c>
      <c r="K1055" s="36"/>
    </row>
    <row r="1056" ht="31" customHeight="1" spans="1:11">
      <c r="A1056" s="19">
        <v>1052</v>
      </c>
      <c r="B1056" s="20" t="s">
        <v>928</v>
      </c>
      <c r="C1056" s="20" t="s">
        <v>1071</v>
      </c>
      <c r="D1056" s="20" t="s">
        <v>1158</v>
      </c>
      <c r="E1056" s="21" t="s">
        <v>17</v>
      </c>
      <c r="F1056" s="20" t="s">
        <v>18</v>
      </c>
      <c r="G1056" s="20" t="s">
        <v>19</v>
      </c>
      <c r="H1056" s="50">
        <v>45340</v>
      </c>
      <c r="I1056" s="19">
        <v>600</v>
      </c>
      <c r="J1056" s="24" t="s">
        <v>20</v>
      </c>
      <c r="K1056" s="36"/>
    </row>
    <row r="1057" ht="31" customHeight="1" spans="1:11">
      <c r="A1057" s="19">
        <v>1053</v>
      </c>
      <c r="B1057" s="20" t="s">
        <v>928</v>
      </c>
      <c r="C1057" s="20" t="s">
        <v>1071</v>
      </c>
      <c r="D1057" s="20" t="s">
        <v>1159</v>
      </c>
      <c r="E1057" s="21" t="s">
        <v>17</v>
      </c>
      <c r="F1057" s="20" t="s">
        <v>18</v>
      </c>
      <c r="G1057" s="20" t="s">
        <v>19</v>
      </c>
      <c r="H1057" s="50">
        <v>45350</v>
      </c>
      <c r="I1057" s="19">
        <v>600</v>
      </c>
      <c r="J1057" s="24" t="s">
        <v>20</v>
      </c>
      <c r="K1057" s="36"/>
    </row>
    <row r="1058" ht="31" customHeight="1" spans="1:11">
      <c r="A1058" s="19">
        <v>1054</v>
      </c>
      <c r="B1058" s="20" t="s">
        <v>928</v>
      </c>
      <c r="C1058" s="20" t="s">
        <v>1071</v>
      </c>
      <c r="D1058" s="20" t="s">
        <v>1160</v>
      </c>
      <c r="E1058" s="21" t="s">
        <v>17</v>
      </c>
      <c r="F1058" s="20" t="s">
        <v>18</v>
      </c>
      <c r="G1058" s="20" t="s">
        <v>19</v>
      </c>
      <c r="H1058" s="50">
        <v>45337</v>
      </c>
      <c r="I1058" s="19">
        <v>600</v>
      </c>
      <c r="J1058" s="24" t="s">
        <v>20</v>
      </c>
      <c r="K1058" s="36"/>
    </row>
    <row r="1059" ht="31" customHeight="1" spans="1:11">
      <c r="A1059" s="19">
        <v>1055</v>
      </c>
      <c r="B1059" s="20" t="s">
        <v>928</v>
      </c>
      <c r="C1059" s="20" t="s">
        <v>1071</v>
      </c>
      <c r="D1059" s="20" t="s">
        <v>1161</v>
      </c>
      <c r="E1059" s="21" t="s">
        <v>17</v>
      </c>
      <c r="F1059" s="20" t="s">
        <v>18</v>
      </c>
      <c r="G1059" s="20" t="s">
        <v>301</v>
      </c>
      <c r="H1059" s="50">
        <v>45350</v>
      </c>
      <c r="I1059" s="19">
        <v>800</v>
      </c>
      <c r="J1059" s="24" t="s">
        <v>20</v>
      </c>
      <c r="K1059" s="36"/>
    </row>
    <row r="1060" ht="31" customHeight="1" spans="1:11">
      <c r="A1060" s="19">
        <v>1056</v>
      </c>
      <c r="B1060" s="20" t="s">
        <v>928</v>
      </c>
      <c r="C1060" s="20" t="s">
        <v>1071</v>
      </c>
      <c r="D1060" s="20" t="s">
        <v>1162</v>
      </c>
      <c r="E1060" s="21" t="s">
        <v>17</v>
      </c>
      <c r="F1060" s="20" t="s">
        <v>18</v>
      </c>
      <c r="G1060" s="20" t="s">
        <v>19</v>
      </c>
      <c r="H1060" s="50">
        <v>45292</v>
      </c>
      <c r="I1060" s="19">
        <v>600</v>
      </c>
      <c r="J1060" s="24" t="s">
        <v>20</v>
      </c>
      <c r="K1060" s="36"/>
    </row>
    <row r="1061" ht="31" customHeight="1" spans="1:11">
      <c r="A1061" s="19">
        <v>1057</v>
      </c>
      <c r="B1061" s="20" t="s">
        <v>928</v>
      </c>
      <c r="C1061" s="20" t="s">
        <v>1071</v>
      </c>
      <c r="D1061" s="20" t="s">
        <v>1163</v>
      </c>
      <c r="E1061" s="21" t="s">
        <v>17</v>
      </c>
      <c r="F1061" s="20" t="s">
        <v>18</v>
      </c>
      <c r="G1061" s="20" t="s">
        <v>19</v>
      </c>
      <c r="H1061" s="50">
        <v>45349</v>
      </c>
      <c r="I1061" s="19">
        <v>600</v>
      </c>
      <c r="J1061" s="24" t="s">
        <v>20</v>
      </c>
      <c r="K1061" s="36"/>
    </row>
    <row r="1062" ht="31" customHeight="1" spans="1:11">
      <c r="A1062" s="19">
        <v>1058</v>
      </c>
      <c r="B1062" s="20" t="s">
        <v>928</v>
      </c>
      <c r="C1062" s="20" t="s">
        <v>1071</v>
      </c>
      <c r="D1062" s="20" t="s">
        <v>1164</v>
      </c>
      <c r="E1062" s="21" t="s">
        <v>17</v>
      </c>
      <c r="F1062" s="20" t="s">
        <v>18</v>
      </c>
      <c r="G1062" s="20" t="s">
        <v>19</v>
      </c>
      <c r="H1062" s="50">
        <v>45348</v>
      </c>
      <c r="I1062" s="19">
        <v>600</v>
      </c>
      <c r="J1062" s="24" t="s">
        <v>20</v>
      </c>
      <c r="K1062" s="36"/>
    </row>
    <row r="1063" ht="31" customHeight="1" spans="1:11">
      <c r="A1063" s="19">
        <v>1059</v>
      </c>
      <c r="B1063" s="20" t="s">
        <v>928</v>
      </c>
      <c r="C1063" s="20" t="s">
        <v>1071</v>
      </c>
      <c r="D1063" s="20" t="s">
        <v>1165</v>
      </c>
      <c r="E1063" s="21" t="s">
        <v>17</v>
      </c>
      <c r="F1063" s="20" t="s">
        <v>18</v>
      </c>
      <c r="G1063" s="20" t="s">
        <v>19</v>
      </c>
      <c r="H1063" s="50">
        <v>45324</v>
      </c>
      <c r="I1063" s="19">
        <v>600</v>
      </c>
      <c r="J1063" s="24" t="s">
        <v>20</v>
      </c>
      <c r="K1063" s="36"/>
    </row>
    <row r="1064" ht="31" customHeight="1" spans="1:11">
      <c r="A1064" s="19">
        <v>1060</v>
      </c>
      <c r="B1064" s="20" t="s">
        <v>928</v>
      </c>
      <c r="C1064" s="20" t="s">
        <v>1071</v>
      </c>
      <c r="D1064" s="20" t="s">
        <v>1166</v>
      </c>
      <c r="E1064" s="21" t="s">
        <v>17</v>
      </c>
      <c r="F1064" s="20" t="s">
        <v>18</v>
      </c>
      <c r="G1064" s="20" t="s">
        <v>29</v>
      </c>
      <c r="H1064" s="50">
        <v>45292</v>
      </c>
      <c r="I1064" s="19">
        <v>800</v>
      </c>
      <c r="J1064" s="24" t="s">
        <v>20</v>
      </c>
      <c r="K1064" s="36"/>
    </row>
    <row r="1065" ht="31" customHeight="1" spans="1:11">
      <c r="A1065" s="19">
        <v>1061</v>
      </c>
      <c r="B1065" s="20" t="s">
        <v>928</v>
      </c>
      <c r="C1065" s="20" t="s">
        <v>1071</v>
      </c>
      <c r="D1065" s="20" t="s">
        <v>1167</v>
      </c>
      <c r="E1065" s="21" t="s">
        <v>17</v>
      </c>
      <c r="F1065" s="20" t="s">
        <v>18</v>
      </c>
      <c r="G1065" s="20" t="s">
        <v>1168</v>
      </c>
      <c r="H1065" s="50">
        <v>45340</v>
      </c>
      <c r="I1065" s="19">
        <v>800</v>
      </c>
      <c r="J1065" s="24" t="s">
        <v>20</v>
      </c>
      <c r="K1065" s="36"/>
    </row>
    <row r="1066" ht="31" customHeight="1" spans="1:11">
      <c r="A1066" s="19">
        <v>1062</v>
      </c>
      <c r="B1066" s="20" t="s">
        <v>928</v>
      </c>
      <c r="C1066" s="20" t="s">
        <v>1071</v>
      </c>
      <c r="D1066" s="20" t="s">
        <v>1169</v>
      </c>
      <c r="E1066" s="21" t="s">
        <v>17</v>
      </c>
      <c r="F1066" s="20" t="s">
        <v>18</v>
      </c>
      <c r="G1066" s="20" t="s">
        <v>19</v>
      </c>
      <c r="H1066" s="50">
        <v>45323</v>
      </c>
      <c r="I1066" s="19">
        <v>600</v>
      </c>
      <c r="J1066" s="24" t="s">
        <v>20</v>
      </c>
      <c r="K1066" s="36"/>
    </row>
    <row r="1067" ht="31" customHeight="1" spans="1:11">
      <c r="A1067" s="19">
        <v>1063</v>
      </c>
      <c r="B1067" s="20" t="s">
        <v>928</v>
      </c>
      <c r="C1067" s="20" t="s">
        <v>1071</v>
      </c>
      <c r="D1067" s="20" t="s">
        <v>1170</v>
      </c>
      <c r="E1067" s="21" t="s">
        <v>17</v>
      </c>
      <c r="F1067" s="20" t="s">
        <v>18</v>
      </c>
      <c r="G1067" s="20" t="s">
        <v>19</v>
      </c>
      <c r="H1067" s="50">
        <v>45352</v>
      </c>
      <c r="I1067" s="19">
        <v>600</v>
      </c>
      <c r="J1067" s="24" t="s">
        <v>20</v>
      </c>
      <c r="K1067" s="36"/>
    </row>
    <row r="1068" ht="31" customHeight="1" spans="1:11">
      <c r="A1068" s="19">
        <v>1064</v>
      </c>
      <c r="B1068" s="20" t="s">
        <v>928</v>
      </c>
      <c r="C1068" s="20" t="s">
        <v>1071</v>
      </c>
      <c r="D1068" s="20" t="s">
        <v>1171</v>
      </c>
      <c r="E1068" s="21" t="s">
        <v>17</v>
      </c>
      <c r="F1068" s="20" t="s">
        <v>18</v>
      </c>
      <c r="G1068" s="20" t="s">
        <v>38</v>
      </c>
      <c r="H1068" s="50">
        <v>45292</v>
      </c>
      <c r="I1068" s="19">
        <v>600</v>
      </c>
      <c r="J1068" s="24" t="s">
        <v>20</v>
      </c>
      <c r="K1068" s="36"/>
    </row>
    <row r="1069" ht="31" customHeight="1" spans="1:11">
      <c r="A1069" s="19">
        <v>1065</v>
      </c>
      <c r="B1069" s="20" t="s">
        <v>928</v>
      </c>
      <c r="C1069" s="20" t="s">
        <v>1071</v>
      </c>
      <c r="D1069" s="20" t="s">
        <v>1172</v>
      </c>
      <c r="E1069" s="21" t="s">
        <v>17</v>
      </c>
      <c r="F1069" s="20" t="s">
        <v>18</v>
      </c>
      <c r="G1069" s="20" t="s">
        <v>1173</v>
      </c>
      <c r="H1069" s="50">
        <v>45350</v>
      </c>
      <c r="I1069" s="19">
        <v>800</v>
      </c>
      <c r="J1069" s="24" t="s">
        <v>20</v>
      </c>
      <c r="K1069" s="36"/>
    </row>
    <row r="1070" ht="31" customHeight="1" spans="1:11">
      <c r="A1070" s="19">
        <v>1066</v>
      </c>
      <c r="B1070" s="20" t="s">
        <v>928</v>
      </c>
      <c r="C1070" s="20" t="s">
        <v>1071</v>
      </c>
      <c r="D1070" s="20" t="s">
        <v>1174</v>
      </c>
      <c r="E1070" s="21" t="s">
        <v>17</v>
      </c>
      <c r="F1070" s="20" t="s">
        <v>18</v>
      </c>
      <c r="G1070" s="20" t="s">
        <v>98</v>
      </c>
      <c r="H1070" s="50">
        <v>45383</v>
      </c>
      <c r="I1070" s="19">
        <v>800</v>
      </c>
      <c r="J1070" s="24" t="s">
        <v>20</v>
      </c>
      <c r="K1070" s="36"/>
    </row>
    <row r="1071" ht="31" customHeight="1" spans="1:11">
      <c r="A1071" s="19">
        <v>1067</v>
      </c>
      <c r="B1071" s="20" t="s">
        <v>928</v>
      </c>
      <c r="C1071" s="20" t="s">
        <v>1071</v>
      </c>
      <c r="D1071" s="20" t="s">
        <v>1175</v>
      </c>
      <c r="E1071" s="21" t="s">
        <v>17</v>
      </c>
      <c r="F1071" s="20" t="s">
        <v>18</v>
      </c>
      <c r="G1071" s="20" t="s">
        <v>19</v>
      </c>
      <c r="H1071" s="50">
        <v>45407</v>
      </c>
      <c r="I1071" s="19">
        <v>600</v>
      </c>
      <c r="J1071" s="24" t="s">
        <v>20</v>
      </c>
      <c r="K1071" s="36"/>
    </row>
    <row r="1072" ht="31" customHeight="1" spans="1:11">
      <c r="A1072" s="19">
        <v>1068</v>
      </c>
      <c r="B1072" s="20" t="s">
        <v>928</v>
      </c>
      <c r="C1072" s="20" t="s">
        <v>1071</v>
      </c>
      <c r="D1072" s="20" t="s">
        <v>1176</v>
      </c>
      <c r="E1072" s="21" t="s">
        <v>17</v>
      </c>
      <c r="F1072" s="20" t="s">
        <v>18</v>
      </c>
      <c r="G1072" s="20" t="s">
        <v>19</v>
      </c>
      <c r="H1072" s="50">
        <v>45347</v>
      </c>
      <c r="I1072" s="19">
        <v>600</v>
      </c>
      <c r="J1072" s="24" t="s">
        <v>20</v>
      </c>
      <c r="K1072" s="36"/>
    </row>
    <row r="1073" ht="31" customHeight="1" spans="1:11">
      <c r="A1073" s="19">
        <v>1069</v>
      </c>
      <c r="B1073" s="20" t="s">
        <v>928</v>
      </c>
      <c r="C1073" s="20" t="s">
        <v>1071</v>
      </c>
      <c r="D1073" s="20" t="s">
        <v>1177</v>
      </c>
      <c r="E1073" s="21" t="s">
        <v>17</v>
      </c>
      <c r="F1073" s="20" t="s">
        <v>18</v>
      </c>
      <c r="G1073" s="20" t="s">
        <v>29</v>
      </c>
      <c r="H1073" s="50">
        <v>45347</v>
      </c>
      <c r="I1073" s="19">
        <v>800</v>
      </c>
      <c r="J1073" s="24" t="s">
        <v>20</v>
      </c>
      <c r="K1073" s="36"/>
    </row>
    <row r="1074" ht="31" customHeight="1" spans="1:11">
      <c r="A1074" s="19">
        <v>1070</v>
      </c>
      <c r="B1074" s="20" t="s">
        <v>928</v>
      </c>
      <c r="C1074" s="20" t="s">
        <v>1071</v>
      </c>
      <c r="D1074" s="20" t="s">
        <v>1178</v>
      </c>
      <c r="E1074" s="21" t="s">
        <v>17</v>
      </c>
      <c r="F1074" s="20" t="s">
        <v>18</v>
      </c>
      <c r="G1074" s="20" t="s">
        <v>19</v>
      </c>
      <c r="H1074" s="50">
        <v>45341</v>
      </c>
      <c r="I1074" s="19">
        <v>600</v>
      </c>
      <c r="J1074" s="24" t="s">
        <v>20</v>
      </c>
      <c r="K1074" s="36"/>
    </row>
    <row r="1075" ht="31" customHeight="1" spans="1:11">
      <c r="A1075" s="19">
        <v>1071</v>
      </c>
      <c r="B1075" s="20" t="s">
        <v>928</v>
      </c>
      <c r="C1075" s="20" t="s">
        <v>1071</v>
      </c>
      <c r="D1075" s="20" t="s">
        <v>1179</v>
      </c>
      <c r="E1075" s="21" t="s">
        <v>17</v>
      </c>
      <c r="F1075" s="20" t="s">
        <v>18</v>
      </c>
      <c r="G1075" s="20" t="s">
        <v>19</v>
      </c>
      <c r="H1075" s="50">
        <v>45329</v>
      </c>
      <c r="I1075" s="19">
        <v>600</v>
      </c>
      <c r="J1075" s="24" t="s">
        <v>20</v>
      </c>
      <c r="K1075" s="36"/>
    </row>
    <row r="1076" ht="31" customHeight="1" spans="1:11">
      <c r="A1076" s="19">
        <v>1072</v>
      </c>
      <c r="B1076" s="20" t="s">
        <v>928</v>
      </c>
      <c r="C1076" s="20" t="s">
        <v>1071</v>
      </c>
      <c r="D1076" s="20" t="s">
        <v>1180</v>
      </c>
      <c r="E1076" s="21" t="s">
        <v>17</v>
      </c>
      <c r="F1076" s="20" t="s">
        <v>18</v>
      </c>
      <c r="G1076" s="20" t="s">
        <v>19</v>
      </c>
      <c r="H1076" s="50">
        <v>45354</v>
      </c>
      <c r="I1076" s="19">
        <v>600</v>
      </c>
      <c r="J1076" s="24" t="s">
        <v>20</v>
      </c>
      <c r="K1076" s="36"/>
    </row>
    <row r="1077" ht="31" customHeight="1" spans="1:11">
      <c r="A1077" s="19">
        <v>1073</v>
      </c>
      <c r="B1077" s="20" t="s">
        <v>928</v>
      </c>
      <c r="C1077" s="20" t="s">
        <v>1071</v>
      </c>
      <c r="D1077" s="20" t="s">
        <v>1181</v>
      </c>
      <c r="E1077" s="21" t="s">
        <v>17</v>
      </c>
      <c r="F1077" s="20" t="s">
        <v>18</v>
      </c>
      <c r="G1077" s="20" t="s">
        <v>38</v>
      </c>
      <c r="H1077" s="50">
        <v>45444</v>
      </c>
      <c r="I1077" s="19">
        <v>600</v>
      </c>
      <c r="J1077" s="24" t="s">
        <v>20</v>
      </c>
      <c r="K1077" s="36"/>
    </row>
    <row r="1078" ht="31" customHeight="1" spans="1:11">
      <c r="A1078" s="19">
        <v>1074</v>
      </c>
      <c r="B1078" s="20" t="s">
        <v>928</v>
      </c>
      <c r="C1078" s="20" t="s">
        <v>1071</v>
      </c>
      <c r="D1078" s="20" t="s">
        <v>1182</v>
      </c>
      <c r="E1078" s="21" t="s">
        <v>17</v>
      </c>
      <c r="F1078" s="20" t="s">
        <v>18</v>
      </c>
      <c r="G1078" s="20" t="s">
        <v>98</v>
      </c>
      <c r="H1078" s="50">
        <v>45444</v>
      </c>
      <c r="I1078" s="19">
        <v>800</v>
      </c>
      <c r="J1078" s="24" t="s">
        <v>20</v>
      </c>
      <c r="K1078" s="36"/>
    </row>
    <row r="1079" ht="31" customHeight="1" spans="1:11">
      <c r="A1079" s="19">
        <v>1075</v>
      </c>
      <c r="B1079" s="20" t="s">
        <v>928</v>
      </c>
      <c r="C1079" s="20" t="s">
        <v>1071</v>
      </c>
      <c r="D1079" s="20" t="s">
        <v>1183</v>
      </c>
      <c r="E1079" s="21" t="s">
        <v>17</v>
      </c>
      <c r="F1079" s="20" t="s">
        <v>18</v>
      </c>
      <c r="G1079" s="20" t="s">
        <v>19</v>
      </c>
      <c r="H1079" s="50">
        <v>45293</v>
      </c>
      <c r="I1079" s="19">
        <v>600</v>
      </c>
      <c r="J1079" s="24" t="s">
        <v>20</v>
      </c>
      <c r="K1079" s="36"/>
    </row>
    <row r="1080" ht="31" customHeight="1" spans="1:11">
      <c r="A1080" s="19">
        <v>1076</v>
      </c>
      <c r="B1080" s="20" t="s">
        <v>928</v>
      </c>
      <c r="C1080" s="20" t="s">
        <v>1071</v>
      </c>
      <c r="D1080" s="20" t="s">
        <v>1184</v>
      </c>
      <c r="E1080" s="21" t="s">
        <v>17</v>
      </c>
      <c r="F1080" s="20" t="s">
        <v>18</v>
      </c>
      <c r="G1080" s="20" t="s">
        <v>19</v>
      </c>
      <c r="H1080" s="50">
        <v>45340</v>
      </c>
      <c r="I1080" s="19">
        <v>600</v>
      </c>
      <c r="J1080" s="24" t="s">
        <v>20</v>
      </c>
      <c r="K1080" s="36"/>
    </row>
    <row r="1081" ht="31" customHeight="1" spans="1:11">
      <c r="A1081" s="19">
        <v>1077</v>
      </c>
      <c r="B1081" s="20" t="s">
        <v>928</v>
      </c>
      <c r="C1081" s="20" t="s">
        <v>1071</v>
      </c>
      <c r="D1081" s="20" t="s">
        <v>1185</v>
      </c>
      <c r="E1081" s="21" t="s">
        <v>17</v>
      </c>
      <c r="F1081" s="20" t="s">
        <v>18</v>
      </c>
      <c r="G1081" s="20" t="s">
        <v>29</v>
      </c>
      <c r="H1081" s="50">
        <v>45352</v>
      </c>
      <c r="I1081" s="19">
        <v>800</v>
      </c>
      <c r="J1081" s="24" t="s">
        <v>20</v>
      </c>
      <c r="K1081" s="36"/>
    </row>
    <row r="1082" ht="31" customHeight="1" spans="1:11">
      <c r="A1082" s="19">
        <v>1078</v>
      </c>
      <c r="B1082" s="20" t="s">
        <v>928</v>
      </c>
      <c r="C1082" s="20" t="s">
        <v>1071</v>
      </c>
      <c r="D1082" s="20" t="s">
        <v>1186</v>
      </c>
      <c r="E1082" s="21" t="s">
        <v>17</v>
      </c>
      <c r="F1082" s="20" t="s">
        <v>18</v>
      </c>
      <c r="G1082" s="20" t="s">
        <v>29</v>
      </c>
      <c r="H1082" s="50">
        <v>45340</v>
      </c>
      <c r="I1082" s="19">
        <v>800</v>
      </c>
      <c r="J1082" s="24" t="s">
        <v>20</v>
      </c>
      <c r="K1082" s="36"/>
    </row>
    <row r="1083" ht="31" customHeight="1" spans="1:11">
      <c r="A1083" s="19">
        <v>1079</v>
      </c>
      <c r="B1083" s="20" t="s">
        <v>928</v>
      </c>
      <c r="C1083" s="20" t="s">
        <v>1071</v>
      </c>
      <c r="D1083" s="20" t="s">
        <v>1187</v>
      </c>
      <c r="E1083" s="21" t="s">
        <v>17</v>
      </c>
      <c r="F1083" s="20" t="s">
        <v>18</v>
      </c>
      <c r="G1083" s="20" t="s">
        <v>29</v>
      </c>
      <c r="H1083" s="50">
        <v>45350</v>
      </c>
      <c r="I1083" s="19">
        <v>800</v>
      </c>
      <c r="J1083" s="24" t="s">
        <v>20</v>
      </c>
      <c r="K1083" s="36"/>
    </row>
    <row r="1084" ht="31" customHeight="1" spans="1:11">
      <c r="A1084" s="19">
        <v>1080</v>
      </c>
      <c r="B1084" s="20" t="s">
        <v>928</v>
      </c>
      <c r="C1084" s="20" t="s">
        <v>1071</v>
      </c>
      <c r="D1084" s="20" t="s">
        <v>1188</v>
      </c>
      <c r="E1084" s="21" t="s">
        <v>17</v>
      </c>
      <c r="F1084" s="20" t="s">
        <v>18</v>
      </c>
      <c r="G1084" s="20" t="s">
        <v>29</v>
      </c>
      <c r="H1084" s="50">
        <v>45350</v>
      </c>
      <c r="I1084" s="19">
        <v>800</v>
      </c>
      <c r="J1084" s="24" t="s">
        <v>20</v>
      </c>
      <c r="K1084" s="36"/>
    </row>
    <row r="1085" ht="31" customHeight="1" spans="1:11">
      <c r="A1085" s="19">
        <v>1081</v>
      </c>
      <c r="B1085" s="20" t="s">
        <v>928</v>
      </c>
      <c r="C1085" s="20" t="s">
        <v>1071</v>
      </c>
      <c r="D1085" s="20" t="s">
        <v>1189</v>
      </c>
      <c r="E1085" s="21" t="s">
        <v>17</v>
      </c>
      <c r="F1085" s="20" t="s">
        <v>18</v>
      </c>
      <c r="G1085" s="20" t="s">
        <v>19</v>
      </c>
      <c r="H1085" s="50">
        <v>45347</v>
      </c>
      <c r="I1085" s="19">
        <v>600</v>
      </c>
      <c r="J1085" s="24" t="s">
        <v>20</v>
      </c>
      <c r="K1085" s="36"/>
    </row>
    <row r="1086" ht="31" customHeight="1" spans="1:11">
      <c r="A1086" s="19">
        <v>1082</v>
      </c>
      <c r="B1086" s="20" t="s">
        <v>928</v>
      </c>
      <c r="C1086" s="20" t="s">
        <v>1071</v>
      </c>
      <c r="D1086" s="20" t="s">
        <v>1190</v>
      </c>
      <c r="E1086" s="21" t="s">
        <v>17</v>
      </c>
      <c r="F1086" s="20" t="s">
        <v>18</v>
      </c>
      <c r="G1086" s="20" t="s">
        <v>19</v>
      </c>
      <c r="H1086" s="50">
        <v>45341</v>
      </c>
      <c r="I1086" s="19">
        <v>600</v>
      </c>
      <c r="J1086" s="24" t="s">
        <v>20</v>
      </c>
      <c r="K1086" s="36"/>
    </row>
    <row r="1087" ht="31" customHeight="1" spans="1:11">
      <c r="A1087" s="19">
        <v>1083</v>
      </c>
      <c r="B1087" s="20" t="s">
        <v>928</v>
      </c>
      <c r="C1087" s="20" t="s">
        <v>1071</v>
      </c>
      <c r="D1087" s="20" t="s">
        <v>1191</v>
      </c>
      <c r="E1087" s="21" t="s">
        <v>17</v>
      </c>
      <c r="F1087" s="20" t="s">
        <v>18</v>
      </c>
      <c r="G1087" s="20" t="s">
        <v>19</v>
      </c>
      <c r="H1087" s="50">
        <v>45460</v>
      </c>
      <c r="I1087" s="19">
        <v>600</v>
      </c>
      <c r="J1087" s="24" t="s">
        <v>20</v>
      </c>
      <c r="K1087" s="36"/>
    </row>
    <row r="1088" ht="31" customHeight="1" spans="1:11">
      <c r="A1088" s="19">
        <v>1084</v>
      </c>
      <c r="B1088" s="20" t="s">
        <v>928</v>
      </c>
      <c r="C1088" s="20" t="s">
        <v>1071</v>
      </c>
      <c r="D1088" s="20" t="s">
        <v>1192</v>
      </c>
      <c r="E1088" s="21" t="s">
        <v>17</v>
      </c>
      <c r="F1088" s="20" t="s">
        <v>18</v>
      </c>
      <c r="G1088" s="20" t="s">
        <v>38</v>
      </c>
      <c r="H1088" s="50">
        <v>45347</v>
      </c>
      <c r="I1088" s="19">
        <v>600</v>
      </c>
      <c r="J1088" s="24" t="s">
        <v>20</v>
      </c>
      <c r="K1088" s="36"/>
    </row>
    <row r="1089" ht="31" customHeight="1" spans="1:11">
      <c r="A1089" s="19">
        <v>1085</v>
      </c>
      <c r="B1089" s="20" t="s">
        <v>928</v>
      </c>
      <c r="C1089" s="20" t="s">
        <v>1071</v>
      </c>
      <c r="D1089" s="20" t="s">
        <v>1193</v>
      </c>
      <c r="E1089" s="21" t="s">
        <v>17</v>
      </c>
      <c r="F1089" s="20" t="s">
        <v>18</v>
      </c>
      <c r="G1089" s="20" t="s">
        <v>19</v>
      </c>
      <c r="H1089" s="50">
        <v>45356</v>
      </c>
      <c r="I1089" s="19">
        <v>600</v>
      </c>
      <c r="J1089" s="24" t="s">
        <v>20</v>
      </c>
      <c r="K1089" s="36"/>
    </row>
    <row r="1090" ht="31" customHeight="1" spans="1:11">
      <c r="A1090" s="19">
        <v>1086</v>
      </c>
      <c r="B1090" s="20" t="s">
        <v>928</v>
      </c>
      <c r="C1090" s="20" t="s">
        <v>1071</v>
      </c>
      <c r="D1090" s="20" t="s">
        <v>1194</v>
      </c>
      <c r="E1090" s="21" t="s">
        <v>17</v>
      </c>
      <c r="F1090" s="20" t="s">
        <v>18</v>
      </c>
      <c r="G1090" s="20" t="s">
        <v>32</v>
      </c>
      <c r="H1090" s="50">
        <v>45474</v>
      </c>
      <c r="I1090" s="19">
        <v>800</v>
      </c>
      <c r="J1090" s="24" t="s">
        <v>20</v>
      </c>
      <c r="K1090" s="36"/>
    </row>
    <row r="1091" ht="31" customHeight="1" spans="1:11">
      <c r="A1091" s="19">
        <v>1087</v>
      </c>
      <c r="B1091" s="20" t="s">
        <v>928</v>
      </c>
      <c r="C1091" s="20" t="s">
        <v>1071</v>
      </c>
      <c r="D1091" s="20" t="s">
        <v>1195</v>
      </c>
      <c r="E1091" s="21" t="s">
        <v>17</v>
      </c>
      <c r="F1091" s="20" t="s">
        <v>18</v>
      </c>
      <c r="G1091" s="20" t="s">
        <v>19</v>
      </c>
      <c r="H1091" s="50">
        <v>45383</v>
      </c>
      <c r="I1091" s="19">
        <v>600</v>
      </c>
      <c r="J1091" s="24" t="s">
        <v>20</v>
      </c>
      <c r="K1091" s="36"/>
    </row>
    <row r="1092" ht="31" customHeight="1" spans="1:11">
      <c r="A1092" s="19">
        <v>1088</v>
      </c>
      <c r="B1092" s="20" t="s">
        <v>928</v>
      </c>
      <c r="C1092" s="20" t="s">
        <v>1071</v>
      </c>
      <c r="D1092" s="20" t="s">
        <v>1196</v>
      </c>
      <c r="E1092" s="21" t="s">
        <v>17</v>
      </c>
      <c r="F1092" s="20" t="s">
        <v>18</v>
      </c>
      <c r="G1092" s="20" t="s">
        <v>19</v>
      </c>
      <c r="H1092" s="50">
        <v>45341</v>
      </c>
      <c r="I1092" s="19">
        <v>600</v>
      </c>
      <c r="J1092" s="24" t="s">
        <v>20</v>
      </c>
      <c r="K1092" s="36"/>
    </row>
    <row r="1093" ht="31" customHeight="1" spans="1:11">
      <c r="A1093" s="19">
        <v>1089</v>
      </c>
      <c r="B1093" s="20" t="s">
        <v>928</v>
      </c>
      <c r="C1093" s="20" t="s">
        <v>1071</v>
      </c>
      <c r="D1093" s="20" t="s">
        <v>1197</v>
      </c>
      <c r="E1093" s="21" t="s">
        <v>17</v>
      </c>
      <c r="F1093" s="20" t="s">
        <v>18</v>
      </c>
      <c r="G1093" s="20" t="s">
        <v>19</v>
      </c>
      <c r="H1093" s="50">
        <v>45341</v>
      </c>
      <c r="I1093" s="19">
        <v>600</v>
      </c>
      <c r="J1093" s="24" t="s">
        <v>20</v>
      </c>
      <c r="K1093" s="36"/>
    </row>
    <row r="1094" ht="31" customHeight="1" spans="1:11">
      <c r="A1094" s="19">
        <v>1090</v>
      </c>
      <c r="B1094" s="20" t="s">
        <v>928</v>
      </c>
      <c r="C1094" s="20" t="s">
        <v>1071</v>
      </c>
      <c r="D1094" s="20" t="s">
        <v>1198</v>
      </c>
      <c r="E1094" s="21" t="s">
        <v>17</v>
      </c>
      <c r="F1094" s="20" t="s">
        <v>18</v>
      </c>
      <c r="G1094" s="20" t="s">
        <v>19</v>
      </c>
      <c r="H1094" s="50">
        <v>45341</v>
      </c>
      <c r="I1094" s="19">
        <v>600</v>
      </c>
      <c r="J1094" s="24" t="s">
        <v>20</v>
      </c>
      <c r="K1094" s="36"/>
    </row>
    <row r="1095" ht="31" customHeight="1" spans="1:11">
      <c r="A1095" s="19">
        <v>1091</v>
      </c>
      <c r="B1095" s="20" t="s">
        <v>928</v>
      </c>
      <c r="C1095" s="20" t="s">
        <v>1071</v>
      </c>
      <c r="D1095" s="20" t="s">
        <v>1199</v>
      </c>
      <c r="E1095" s="21" t="s">
        <v>17</v>
      </c>
      <c r="F1095" s="20" t="s">
        <v>18</v>
      </c>
      <c r="G1095" s="20" t="s">
        <v>19</v>
      </c>
      <c r="H1095" s="50">
        <v>45339</v>
      </c>
      <c r="I1095" s="19">
        <v>600</v>
      </c>
      <c r="J1095" s="24" t="s">
        <v>20</v>
      </c>
      <c r="K1095" s="36"/>
    </row>
    <row r="1096" ht="31" customHeight="1" spans="1:11">
      <c r="A1096" s="19">
        <v>1092</v>
      </c>
      <c r="B1096" s="20" t="s">
        <v>928</v>
      </c>
      <c r="C1096" s="20" t="s">
        <v>1200</v>
      </c>
      <c r="D1096" s="20" t="s">
        <v>1201</v>
      </c>
      <c r="E1096" s="21" t="s">
        <v>17</v>
      </c>
      <c r="F1096" s="20" t="s">
        <v>18</v>
      </c>
      <c r="G1096" s="20" t="s">
        <v>98</v>
      </c>
      <c r="H1096" s="50">
        <v>45358</v>
      </c>
      <c r="I1096" s="19">
        <v>800</v>
      </c>
      <c r="J1096" s="24" t="s">
        <v>20</v>
      </c>
      <c r="K1096" s="36"/>
    </row>
    <row r="1097" ht="31" customHeight="1" spans="1:11">
      <c r="A1097" s="19">
        <v>1093</v>
      </c>
      <c r="B1097" s="20" t="s">
        <v>928</v>
      </c>
      <c r="C1097" s="20" t="s">
        <v>1200</v>
      </c>
      <c r="D1097" s="20" t="s">
        <v>1202</v>
      </c>
      <c r="E1097" s="21" t="s">
        <v>17</v>
      </c>
      <c r="F1097" s="20" t="s">
        <v>18</v>
      </c>
      <c r="G1097" s="20" t="s">
        <v>19</v>
      </c>
      <c r="H1097" s="50">
        <v>45348</v>
      </c>
      <c r="I1097" s="19">
        <v>600</v>
      </c>
      <c r="J1097" s="24" t="s">
        <v>20</v>
      </c>
      <c r="K1097" s="36"/>
    </row>
    <row r="1098" ht="31" customHeight="1" spans="1:11">
      <c r="A1098" s="19">
        <v>1094</v>
      </c>
      <c r="B1098" s="20" t="s">
        <v>928</v>
      </c>
      <c r="C1098" s="20" t="s">
        <v>1200</v>
      </c>
      <c r="D1098" s="20" t="s">
        <v>1203</v>
      </c>
      <c r="E1098" s="21" t="s">
        <v>17</v>
      </c>
      <c r="F1098" s="20" t="s">
        <v>18</v>
      </c>
      <c r="G1098" s="20" t="s">
        <v>19</v>
      </c>
      <c r="H1098" s="50">
        <v>45365</v>
      </c>
      <c r="I1098" s="19">
        <v>600</v>
      </c>
      <c r="J1098" s="24" t="s">
        <v>20</v>
      </c>
      <c r="K1098" s="36"/>
    </row>
    <row r="1099" ht="31" customHeight="1" spans="1:11">
      <c r="A1099" s="19">
        <v>1095</v>
      </c>
      <c r="B1099" s="20" t="s">
        <v>928</v>
      </c>
      <c r="C1099" s="20" t="s">
        <v>1200</v>
      </c>
      <c r="D1099" s="20" t="s">
        <v>1204</v>
      </c>
      <c r="E1099" s="21" t="s">
        <v>17</v>
      </c>
      <c r="F1099" s="20" t="s">
        <v>18</v>
      </c>
      <c r="G1099" s="20" t="s">
        <v>19</v>
      </c>
      <c r="H1099" s="50">
        <v>45292</v>
      </c>
      <c r="I1099" s="19">
        <v>600</v>
      </c>
      <c r="J1099" s="24" t="s">
        <v>20</v>
      </c>
      <c r="K1099" s="36"/>
    </row>
    <row r="1100" ht="31" customHeight="1" spans="1:11">
      <c r="A1100" s="19">
        <v>1096</v>
      </c>
      <c r="B1100" s="20" t="s">
        <v>928</v>
      </c>
      <c r="C1100" s="20" t="s">
        <v>1205</v>
      </c>
      <c r="D1100" s="20" t="s">
        <v>1206</v>
      </c>
      <c r="E1100" s="21" t="s">
        <v>17</v>
      </c>
      <c r="F1100" s="20" t="s">
        <v>18</v>
      </c>
      <c r="G1100" s="20" t="s">
        <v>19</v>
      </c>
      <c r="H1100" s="50">
        <v>45444</v>
      </c>
      <c r="I1100" s="19">
        <v>600</v>
      </c>
      <c r="J1100" s="24" t="s">
        <v>20</v>
      </c>
      <c r="K1100" s="36"/>
    </row>
    <row r="1101" ht="31" customHeight="1" spans="1:11">
      <c r="A1101" s="19">
        <v>1097</v>
      </c>
      <c r="B1101" s="20" t="s">
        <v>928</v>
      </c>
      <c r="C1101" s="20" t="s">
        <v>1205</v>
      </c>
      <c r="D1101" s="20" t="s">
        <v>1207</v>
      </c>
      <c r="E1101" s="21" t="s">
        <v>17</v>
      </c>
      <c r="F1101" s="20" t="s">
        <v>18</v>
      </c>
      <c r="G1101" s="20" t="s">
        <v>19</v>
      </c>
      <c r="H1101" s="50">
        <v>45444</v>
      </c>
      <c r="I1101" s="19">
        <v>600</v>
      </c>
      <c r="J1101" s="24" t="s">
        <v>20</v>
      </c>
      <c r="K1101" s="36"/>
    </row>
    <row r="1102" ht="31" customHeight="1" spans="1:11">
      <c r="A1102" s="19">
        <v>1098</v>
      </c>
      <c r="B1102" s="20" t="s">
        <v>928</v>
      </c>
      <c r="C1102" s="20" t="s">
        <v>1205</v>
      </c>
      <c r="D1102" s="20" t="s">
        <v>1208</v>
      </c>
      <c r="E1102" s="21" t="s">
        <v>17</v>
      </c>
      <c r="F1102" s="20" t="s">
        <v>18</v>
      </c>
      <c r="G1102" s="20" t="s">
        <v>19</v>
      </c>
      <c r="H1102" s="50">
        <v>45352</v>
      </c>
      <c r="I1102" s="19">
        <v>600</v>
      </c>
      <c r="J1102" s="24" t="s">
        <v>20</v>
      </c>
      <c r="K1102" s="36"/>
    </row>
    <row r="1103" ht="31" customHeight="1" spans="1:11">
      <c r="A1103" s="19">
        <v>1099</v>
      </c>
      <c r="B1103" s="20" t="s">
        <v>928</v>
      </c>
      <c r="C1103" s="20" t="s">
        <v>1205</v>
      </c>
      <c r="D1103" s="20" t="s">
        <v>1209</v>
      </c>
      <c r="E1103" s="21" t="s">
        <v>17</v>
      </c>
      <c r="F1103" s="20" t="s">
        <v>18</v>
      </c>
      <c r="G1103" s="20" t="s">
        <v>19</v>
      </c>
      <c r="H1103" s="50">
        <v>45444</v>
      </c>
      <c r="I1103" s="19">
        <v>600</v>
      </c>
      <c r="J1103" s="24" t="s">
        <v>20</v>
      </c>
      <c r="K1103" s="36"/>
    </row>
    <row r="1104" ht="31" customHeight="1" spans="1:11">
      <c r="A1104" s="19">
        <v>1100</v>
      </c>
      <c r="B1104" s="20" t="s">
        <v>928</v>
      </c>
      <c r="C1104" s="20" t="s">
        <v>1205</v>
      </c>
      <c r="D1104" s="20" t="s">
        <v>1210</v>
      </c>
      <c r="E1104" s="21" t="s">
        <v>17</v>
      </c>
      <c r="F1104" s="20" t="s">
        <v>18</v>
      </c>
      <c r="G1104" s="20" t="s">
        <v>19</v>
      </c>
      <c r="H1104" s="50">
        <v>45474</v>
      </c>
      <c r="I1104" s="19">
        <v>600</v>
      </c>
      <c r="J1104" s="24" t="s">
        <v>20</v>
      </c>
      <c r="K1104" s="36"/>
    </row>
    <row r="1105" ht="31" customHeight="1" spans="1:11">
      <c r="A1105" s="19">
        <v>1101</v>
      </c>
      <c r="B1105" s="20" t="s">
        <v>928</v>
      </c>
      <c r="C1105" s="20" t="s">
        <v>1211</v>
      </c>
      <c r="D1105" s="20" t="s">
        <v>1212</v>
      </c>
      <c r="E1105" s="21" t="s">
        <v>17</v>
      </c>
      <c r="F1105" s="20" t="s">
        <v>18</v>
      </c>
      <c r="G1105" s="20" t="s">
        <v>29</v>
      </c>
      <c r="H1105" s="50">
        <v>45352</v>
      </c>
      <c r="I1105" s="19">
        <v>800</v>
      </c>
      <c r="J1105" s="24" t="s">
        <v>20</v>
      </c>
      <c r="K1105" s="36"/>
    </row>
    <row r="1106" ht="31" customHeight="1" spans="1:11">
      <c r="A1106" s="19">
        <v>1102</v>
      </c>
      <c r="B1106" s="20" t="s">
        <v>928</v>
      </c>
      <c r="C1106" s="20" t="s">
        <v>1211</v>
      </c>
      <c r="D1106" s="52" t="s">
        <v>1213</v>
      </c>
      <c r="E1106" s="21" t="s">
        <v>17</v>
      </c>
      <c r="F1106" s="52" t="s">
        <v>18</v>
      </c>
      <c r="G1106" s="20" t="s">
        <v>19</v>
      </c>
      <c r="H1106" s="50">
        <v>45352</v>
      </c>
      <c r="I1106" s="19">
        <v>600</v>
      </c>
      <c r="J1106" s="24" t="s">
        <v>20</v>
      </c>
      <c r="K1106" s="36"/>
    </row>
    <row r="1107" ht="31" customHeight="1" spans="1:11">
      <c r="A1107" s="19">
        <v>1103</v>
      </c>
      <c r="B1107" s="20" t="s">
        <v>928</v>
      </c>
      <c r="C1107" s="20" t="s">
        <v>1211</v>
      </c>
      <c r="D1107" s="20" t="s">
        <v>1214</v>
      </c>
      <c r="E1107" s="21" t="s">
        <v>17</v>
      </c>
      <c r="F1107" s="20" t="s">
        <v>18</v>
      </c>
      <c r="G1107" s="20" t="s">
        <v>19</v>
      </c>
      <c r="H1107" s="50">
        <v>45323</v>
      </c>
      <c r="I1107" s="19">
        <v>600</v>
      </c>
      <c r="J1107" s="24" t="s">
        <v>20</v>
      </c>
      <c r="K1107" s="36"/>
    </row>
    <row r="1108" ht="31" customHeight="1" spans="1:11">
      <c r="A1108" s="19">
        <v>1104</v>
      </c>
      <c r="B1108" s="20" t="s">
        <v>928</v>
      </c>
      <c r="C1108" s="20" t="s">
        <v>1211</v>
      </c>
      <c r="D1108" s="20" t="s">
        <v>1215</v>
      </c>
      <c r="E1108" s="21" t="s">
        <v>17</v>
      </c>
      <c r="F1108" s="20" t="s">
        <v>18</v>
      </c>
      <c r="G1108" s="20" t="s">
        <v>32</v>
      </c>
      <c r="H1108" s="50">
        <v>45383</v>
      </c>
      <c r="I1108" s="19">
        <v>800</v>
      </c>
      <c r="J1108" s="24" t="s">
        <v>20</v>
      </c>
      <c r="K1108" s="36"/>
    </row>
    <row r="1109" ht="31" customHeight="1" spans="1:11">
      <c r="A1109" s="19">
        <v>1105</v>
      </c>
      <c r="B1109" s="20" t="s">
        <v>928</v>
      </c>
      <c r="C1109" s="20" t="s">
        <v>1211</v>
      </c>
      <c r="D1109" s="20" t="s">
        <v>1216</v>
      </c>
      <c r="E1109" s="21" t="s">
        <v>17</v>
      </c>
      <c r="F1109" s="20" t="s">
        <v>18</v>
      </c>
      <c r="G1109" s="20" t="s">
        <v>32</v>
      </c>
      <c r="H1109" s="50">
        <v>45383</v>
      </c>
      <c r="I1109" s="19">
        <v>800</v>
      </c>
      <c r="J1109" s="24" t="s">
        <v>20</v>
      </c>
      <c r="K1109" s="36"/>
    </row>
    <row r="1110" ht="31" customHeight="1" spans="1:11">
      <c r="A1110" s="19">
        <v>1106</v>
      </c>
      <c r="B1110" s="20" t="s">
        <v>928</v>
      </c>
      <c r="C1110" s="20" t="s">
        <v>1211</v>
      </c>
      <c r="D1110" s="20" t="s">
        <v>1217</v>
      </c>
      <c r="E1110" s="21" t="s">
        <v>17</v>
      </c>
      <c r="F1110" s="20" t="s">
        <v>18</v>
      </c>
      <c r="G1110" s="20" t="s">
        <v>19</v>
      </c>
      <c r="H1110" s="50">
        <v>45383</v>
      </c>
      <c r="I1110" s="19">
        <v>600</v>
      </c>
      <c r="J1110" s="24" t="s">
        <v>20</v>
      </c>
      <c r="K1110" s="36"/>
    </row>
    <row r="1111" ht="31" customHeight="1" spans="1:11">
      <c r="A1111" s="19">
        <v>1107</v>
      </c>
      <c r="B1111" s="20" t="s">
        <v>928</v>
      </c>
      <c r="C1111" s="20" t="s">
        <v>1218</v>
      </c>
      <c r="D1111" s="20" t="s">
        <v>1219</v>
      </c>
      <c r="E1111" s="21" t="s">
        <v>17</v>
      </c>
      <c r="F1111" s="20" t="s">
        <v>18</v>
      </c>
      <c r="G1111" s="20" t="s">
        <v>19</v>
      </c>
      <c r="H1111" s="50">
        <v>45323</v>
      </c>
      <c r="I1111" s="19">
        <v>600</v>
      </c>
      <c r="J1111" s="24" t="s">
        <v>20</v>
      </c>
      <c r="K1111" s="36"/>
    </row>
    <row r="1112" ht="31" customHeight="1" spans="1:11">
      <c r="A1112" s="19">
        <v>1108</v>
      </c>
      <c r="B1112" s="20" t="s">
        <v>928</v>
      </c>
      <c r="C1112" s="20" t="s">
        <v>1218</v>
      </c>
      <c r="D1112" s="20" t="s">
        <v>1220</v>
      </c>
      <c r="E1112" s="21" t="s">
        <v>17</v>
      </c>
      <c r="F1112" s="20" t="s">
        <v>18</v>
      </c>
      <c r="G1112" s="20" t="s">
        <v>19</v>
      </c>
      <c r="H1112" s="50">
        <v>45323</v>
      </c>
      <c r="I1112" s="19">
        <v>600</v>
      </c>
      <c r="J1112" s="24" t="s">
        <v>20</v>
      </c>
      <c r="K1112" s="36"/>
    </row>
    <row r="1113" ht="31" customHeight="1" spans="1:11">
      <c r="A1113" s="19">
        <v>1109</v>
      </c>
      <c r="B1113" s="20" t="s">
        <v>928</v>
      </c>
      <c r="C1113" s="20" t="s">
        <v>1218</v>
      </c>
      <c r="D1113" s="20" t="s">
        <v>1221</v>
      </c>
      <c r="E1113" s="21" t="s">
        <v>17</v>
      </c>
      <c r="F1113" s="20" t="s">
        <v>18</v>
      </c>
      <c r="G1113" s="20" t="s">
        <v>98</v>
      </c>
      <c r="H1113" s="50">
        <v>45323</v>
      </c>
      <c r="I1113" s="19">
        <v>800</v>
      </c>
      <c r="J1113" s="24" t="s">
        <v>20</v>
      </c>
      <c r="K1113" s="36"/>
    </row>
    <row r="1114" ht="31" customHeight="1" spans="1:11">
      <c r="A1114" s="19">
        <v>1110</v>
      </c>
      <c r="B1114" s="20" t="s">
        <v>928</v>
      </c>
      <c r="C1114" s="20" t="s">
        <v>1218</v>
      </c>
      <c r="D1114" s="20" t="s">
        <v>1222</v>
      </c>
      <c r="E1114" s="21" t="s">
        <v>17</v>
      </c>
      <c r="F1114" s="20" t="s">
        <v>18</v>
      </c>
      <c r="G1114" s="20" t="s">
        <v>19</v>
      </c>
      <c r="H1114" s="50">
        <v>45352</v>
      </c>
      <c r="I1114" s="19">
        <v>600</v>
      </c>
      <c r="J1114" s="24" t="s">
        <v>20</v>
      </c>
      <c r="K1114" s="36"/>
    </row>
    <row r="1115" ht="31" customHeight="1" spans="1:11">
      <c r="A1115" s="19">
        <v>1111</v>
      </c>
      <c r="B1115" s="20" t="s">
        <v>928</v>
      </c>
      <c r="C1115" s="20" t="s">
        <v>1218</v>
      </c>
      <c r="D1115" s="20" t="s">
        <v>1223</v>
      </c>
      <c r="E1115" s="21" t="s">
        <v>17</v>
      </c>
      <c r="F1115" s="20" t="s">
        <v>18</v>
      </c>
      <c r="G1115" s="20" t="s">
        <v>19</v>
      </c>
      <c r="H1115" s="50">
        <v>45352</v>
      </c>
      <c r="I1115" s="19">
        <v>600</v>
      </c>
      <c r="J1115" s="24" t="s">
        <v>20</v>
      </c>
      <c r="K1115" s="36"/>
    </row>
    <row r="1116" ht="31" customHeight="1" spans="1:11">
      <c r="A1116" s="19">
        <v>1112</v>
      </c>
      <c r="B1116" s="20" t="s">
        <v>928</v>
      </c>
      <c r="C1116" s="20" t="s">
        <v>1218</v>
      </c>
      <c r="D1116" s="20" t="s">
        <v>1224</v>
      </c>
      <c r="E1116" s="21" t="s">
        <v>17</v>
      </c>
      <c r="F1116" s="20" t="s">
        <v>18</v>
      </c>
      <c r="G1116" s="20" t="s">
        <v>19</v>
      </c>
      <c r="H1116" s="50">
        <v>45413</v>
      </c>
      <c r="I1116" s="19">
        <v>600</v>
      </c>
      <c r="J1116" s="24" t="s">
        <v>20</v>
      </c>
      <c r="K1116" s="36"/>
    </row>
    <row r="1117" ht="31" customHeight="1" spans="1:11">
      <c r="A1117" s="19">
        <v>1113</v>
      </c>
      <c r="B1117" s="20" t="s">
        <v>928</v>
      </c>
      <c r="C1117" s="20" t="s">
        <v>1225</v>
      </c>
      <c r="D1117" s="20" t="s">
        <v>1226</v>
      </c>
      <c r="E1117" s="21" t="s">
        <v>17</v>
      </c>
      <c r="F1117" s="20" t="s">
        <v>18</v>
      </c>
      <c r="G1117" s="20" t="s">
        <v>19</v>
      </c>
      <c r="H1117" s="50">
        <v>45323</v>
      </c>
      <c r="I1117" s="19">
        <v>600</v>
      </c>
      <c r="J1117" s="24" t="s">
        <v>20</v>
      </c>
      <c r="K1117" s="36"/>
    </row>
    <row r="1118" ht="31" customHeight="1" spans="1:11">
      <c r="A1118" s="19">
        <v>1114</v>
      </c>
      <c r="B1118" s="20" t="s">
        <v>928</v>
      </c>
      <c r="C1118" s="20" t="s">
        <v>1225</v>
      </c>
      <c r="D1118" s="20" t="s">
        <v>1227</v>
      </c>
      <c r="E1118" s="21" t="s">
        <v>17</v>
      </c>
      <c r="F1118" s="20" t="s">
        <v>18</v>
      </c>
      <c r="G1118" s="20" t="s">
        <v>19</v>
      </c>
      <c r="H1118" s="50">
        <v>45323</v>
      </c>
      <c r="I1118" s="19">
        <v>600</v>
      </c>
      <c r="J1118" s="24" t="s">
        <v>20</v>
      </c>
      <c r="K1118" s="36"/>
    </row>
    <row r="1119" ht="31" customHeight="1" spans="1:11">
      <c r="A1119" s="19">
        <v>1115</v>
      </c>
      <c r="B1119" s="20" t="s">
        <v>928</v>
      </c>
      <c r="C1119" s="20" t="s">
        <v>1225</v>
      </c>
      <c r="D1119" s="20" t="s">
        <v>1228</v>
      </c>
      <c r="E1119" s="21" t="s">
        <v>17</v>
      </c>
      <c r="F1119" s="20" t="s">
        <v>18</v>
      </c>
      <c r="G1119" s="20" t="s">
        <v>19</v>
      </c>
      <c r="H1119" s="50">
        <v>45323</v>
      </c>
      <c r="I1119" s="19">
        <v>600</v>
      </c>
      <c r="J1119" s="24" t="s">
        <v>20</v>
      </c>
      <c r="K1119" s="36"/>
    </row>
    <row r="1120" ht="31" customHeight="1" spans="1:11">
      <c r="A1120" s="19">
        <v>1116</v>
      </c>
      <c r="B1120" s="20" t="s">
        <v>928</v>
      </c>
      <c r="C1120" s="20" t="s">
        <v>1229</v>
      </c>
      <c r="D1120" s="20" t="s">
        <v>1230</v>
      </c>
      <c r="E1120" s="21" t="s">
        <v>17</v>
      </c>
      <c r="F1120" s="20" t="s">
        <v>18</v>
      </c>
      <c r="G1120" s="20" t="s">
        <v>32</v>
      </c>
      <c r="H1120" s="50">
        <v>45402</v>
      </c>
      <c r="I1120" s="19">
        <v>800</v>
      </c>
      <c r="J1120" s="24" t="s">
        <v>20</v>
      </c>
      <c r="K1120" s="36"/>
    </row>
    <row r="1121" ht="31" customHeight="1" spans="1:11">
      <c r="A1121" s="19">
        <v>1117</v>
      </c>
      <c r="B1121" s="20" t="s">
        <v>928</v>
      </c>
      <c r="C1121" s="20" t="s">
        <v>1229</v>
      </c>
      <c r="D1121" s="20" t="s">
        <v>1231</v>
      </c>
      <c r="E1121" s="21" t="s">
        <v>17</v>
      </c>
      <c r="F1121" s="20" t="s">
        <v>18</v>
      </c>
      <c r="G1121" s="20" t="s">
        <v>19</v>
      </c>
      <c r="H1121" s="50">
        <v>45294</v>
      </c>
      <c r="I1121" s="19">
        <v>600</v>
      </c>
      <c r="J1121" s="24" t="s">
        <v>20</v>
      </c>
      <c r="K1121" s="36"/>
    </row>
    <row r="1122" ht="31" customHeight="1" spans="1:11">
      <c r="A1122" s="19">
        <v>1118</v>
      </c>
      <c r="B1122" s="20" t="s">
        <v>928</v>
      </c>
      <c r="C1122" s="20" t="s">
        <v>1229</v>
      </c>
      <c r="D1122" s="20" t="s">
        <v>1232</v>
      </c>
      <c r="E1122" s="21" t="s">
        <v>17</v>
      </c>
      <c r="F1122" s="20" t="s">
        <v>18</v>
      </c>
      <c r="G1122" s="20" t="s">
        <v>19</v>
      </c>
      <c r="H1122" s="50">
        <v>45294</v>
      </c>
      <c r="I1122" s="19">
        <v>600</v>
      </c>
      <c r="J1122" s="24" t="s">
        <v>20</v>
      </c>
      <c r="K1122" s="36"/>
    </row>
    <row r="1123" ht="31" customHeight="1" spans="1:11">
      <c r="A1123" s="19">
        <v>1119</v>
      </c>
      <c r="B1123" s="20" t="s">
        <v>928</v>
      </c>
      <c r="C1123" s="20" t="s">
        <v>1233</v>
      </c>
      <c r="D1123" s="20" t="s">
        <v>1234</v>
      </c>
      <c r="E1123" s="21" t="s">
        <v>17</v>
      </c>
      <c r="F1123" s="20" t="s">
        <v>18</v>
      </c>
      <c r="G1123" s="20" t="s">
        <v>19</v>
      </c>
      <c r="H1123" s="50">
        <v>45292</v>
      </c>
      <c r="I1123" s="19">
        <v>600</v>
      </c>
      <c r="J1123" s="24" t="s">
        <v>20</v>
      </c>
      <c r="K1123" s="36"/>
    </row>
    <row r="1124" ht="31" customHeight="1" spans="1:11">
      <c r="A1124" s="19">
        <v>1120</v>
      </c>
      <c r="B1124" s="20" t="s">
        <v>928</v>
      </c>
      <c r="C1124" s="20" t="s">
        <v>1233</v>
      </c>
      <c r="D1124" s="20" t="s">
        <v>1235</v>
      </c>
      <c r="E1124" s="21" t="s">
        <v>17</v>
      </c>
      <c r="F1124" s="20" t="s">
        <v>18</v>
      </c>
      <c r="G1124" s="20" t="s">
        <v>295</v>
      </c>
      <c r="H1124" s="50">
        <v>45364</v>
      </c>
      <c r="I1124" s="19">
        <v>600</v>
      </c>
      <c r="J1124" s="24" t="s">
        <v>20</v>
      </c>
      <c r="K1124" s="36"/>
    </row>
    <row r="1125" ht="31" customHeight="1" spans="1:11">
      <c r="A1125" s="19">
        <v>1121</v>
      </c>
      <c r="B1125" s="20" t="s">
        <v>928</v>
      </c>
      <c r="C1125" s="20" t="s">
        <v>1233</v>
      </c>
      <c r="D1125" s="20" t="s">
        <v>1236</v>
      </c>
      <c r="E1125" s="21" t="s">
        <v>17</v>
      </c>
      <c r="F1125" s="20" t="s">
        <v>18</v>
      </c>
      <c r="G1125" s="20" t="s">
        <v>19</v>
      </c>
      <c r="H1125" s="50">
        <v>45294</v>
      </c>
      <c r="I1125" s="19">
        <v>600</v>
      </c>
      <c r="J1125" s="24" t="s">
        <v>20</v>
      </c>
      <c r="K1125" s="36"/>
    </row>
    <row r="1126" ht="31" customHeight="1" spans="1:11">
      <c r="A1126" s="19">
        <v>1122</v>
      </c>
      <c r="B1126" s="20" t="s">
        <v>928</v>
      </c>
      <c r="C1126" s="20" t="s">
        <v>1237</v>
      </c>
      <c r="D1126" s="20" t="s">
        <v>1238</v>
      </c>
      <c r="E1126" s="21" t="s">
        <v>17</v>
      </c>
      <c r="F1126" s="20" t="s">
        <v>18</v>
      </c>
      <c r="G1126" s="20" t="s">
        <v>29</v>
      </c>
      <c r="H1126" s="50">
        <v>45321</v>
      </c>
      <c r="I1126" s="19">
        <v>800</v>
      </c>
      <c r="J1126" s="24" t="s">
        <v>20</v>
      </c>
      <c r="K1126" s="36"/>
    </row>
    <row r="1127" ht="31" customHeight="1" spans="1:11">
      <c r="A1127" s="19">
        <v>1123</v>
      </c>
      <c r="B1127" s="20" t="s">
        <v>928</v>
      </c>
      <c r="C1127" s="20" t="s">
        <v>1237</v>
      </c>
      <c r="D1127" s="20" t="s">
        <v>1239</v>
      </c>
      <c r="E1127" s="21" t="s">
        <v>17</v>
      </c>
      <c r="F1127" s="20" t="s">
        <v>18</v>
      </c>
      <c r="G1127" s="20" t="s">
        <v>29</v>
      </c>
      <c r="H1127" s="50">
        <v>45292</v>
      </c>
      <c r="I1127" s="19">
        <v>800</v>
      </c>
      <c r="J1127" s="24" t="s">
        <v>20</v>
      </c>
      <c r="K1127" s="36"/>
    </row>
    <row r="1128" ht="31" customHeight="1" spans="1:11">
      <c r="A1128" s="19">
        <v>1124</v>
      </c>
      <c r="B1128" s="20" t="s">
        <v>928</v>
      </c>
      <c r="C1128" s="20" t="s">
        <v>1237</v>
      </c>
      <c r="D1128" s="20" t="s">
        <v>1240</v>
      </c>
      <c r="E1128" s="21" t="s">
        <v>17</v>
      </c>
      <c r="F1128" s="20" t="s">
        <v>18</v>
      </c>
      <c r="G1128" s="20" t="s">
        <v>19</v>
      </c>
      <c r="H1128" s="50">
        <v>45292</v>
      </c>
      <c r="I1128" s="19">
        <v>600</v>
      </c>
      <c r="J1128" s="24" t="s">
        <v>20</v>
      </c>
      <c r="K1128" s="36"/>
    </row>
    <row r="1129" ht="31" customHeight="1" spans="1:11">
      <c r="A1129" s="19">
        <v>1125</v>
      </c>
      <c r="B1129" s="20" t="s">
        <v>928</v>
      </c>
      <c r="C1129" s="20" t="s">
        <v>1237</v>
      </c>
      <c r="D1129" s="20" t="s">
        <v>1241</v>
      </c>
      <c r="E1129" s="21" t="s">
        <v>17</v>
      </c>
      <c r="F1129" s="20" t="s">
        <v>18</v>
      </c>
      <c r="G1129" s="20" t="s">
        <v>32</v>
      </c>
      <c r="H1129" s="50">
        <v>45348</v>
      </c>
      <c r="I1129" s="19">
        <v>800</v>
      </c>
      <c r="J1129" s="24" t="s">
        <v>20</v>
      </c>
      <c r="K1129" s="36"/>
    </row>
    <row r="1130" ht="31" customHeight="1" spans="1:11">
      <c r="A1130" s="19">
        <v>1126</v>
      </c>
      <c r="B1130" s="20" t="s">
        <v>928</v>
      </c>
      <c r="C1130" s="20" t="s">
        <v>1237</v>
      </c>
      <c r="D1130" s="20" t="s">
        <v>1242</v>
      </c>
      <c r="E1130" s="21" t="s">
        <v>17</v>
      </c>
      <c r="F1130" s="20" t="s">
        <v>18</v>
      </c>
      <c r="G1130" s="20" t="s">
        <v>32</v>
      </c>
      <c r="H1130" s="50">
        <v>45348</v>
      </c>
      <c r="I1130" s="19">
        <v>800</v>
      </c>
      <c r="J1130" s="24" t="s">
        <v>20</v>
      </c>
      <c r="K1130" s="36"/>
    </row>
    <row r="1131" ht="31" customHeight="1" spans="1:11">
      <c r="A1131" s="19">
        <v>1127</v>
      </c>
      <c r="B1131" s="20" t="s">
        <v>928</v>
      </c>
      <c r="C1131" s="20" t="s">
        <v>1243</v>
      </c>
      <c r="D1131" s="20" t="s">
        <v>1244</v>
      </c>
      <c r="E1131" s="21" t="s">
        <v>17</v>
      </c>
      <c r="F1131" s="20" t="s">
        <v>18</v>
      </c>
      <c r="G1131" s="20" t="s">
        <v>19</v>
      </c>
      <c r="H1131" s="50">
        <v>45340</v>
      </c>
      <c r="I1131" s="19">
        <v>600</v>
      </c>
      <c r="J1131" s="24" t="s">
        <v>20</v>
      </c>
      <c r="K1131" s="36"/>
    </row>
    <row r="1132" ht="31" customHeight="1" spans="1:11">
      <c r="A1132" s="19">
        <v>1128</v>
      </c>
      <c r="B1132" s="20" t="s">
        <v>928</v>
      </c>
      <c r="C1132" s="20" t="s">
        <v>1243</v>
      </c>
      <c r="D1132" s="20" t="s">
        <v>1245</v>
      </c>
      <c r="E1132" s="21" t="s">
        <v>17</v>
      </c>
      <c r="F1132" s="20" t="s">
        <v>18</v>
      </c>
      <c r="G1132" s="20" t="s">
        <v>351</v>
      </c>
      <c r="H1132" s="50">
        <v>45339</v>
      </c>
      <c r="I1132" s="19">
        <v>800</v>
      </c>
      <c r="J1132" s="24" t="s">
        <v>20</v>
      </c>
      <c r="K1132" s="36"/>
    </row>
    <row r="1133" ht="31" customHeight="1" spans="1:11">
      <c r="A1133" s="19">
        <v>1129</v>
      </c>
      <c r="B1133" s="20" t="s">
        <v>928</v>
      </c>
      <c r="C1133" s="20" t="s">
        <v>1243</v>
      </c>
      <c r="D1133" s="20" t="s">
        <v>1246</v>
      </c>
      <c r="E1133" s="21" t="s">
        <v>17</v>
      </c>
      <c r="F1133" s="20" t="s">
        <v>18</v>
      </c>
      <c r="G1133" s="20" t="s">
        <v>351</v>
      </c>
      <c r="H1133" s="50">
        <v>45339</v>
      </c>
      <c r="I1133" s="19">
        <v>800</v>
      </c>
      <c r="J1133" s="24" t="s">
        <v>20</v>
      </c>
      <c r="K1133" s="36"/>
    </row>
    <row r="1134" ht="31" customHeight="1" spans="1:11">
      <c r="A1134" s="19">
        <v>1130</v>
      </c>
      <c r="B1134" s="20" t="s">
        <v>928</v>
      </c>
      <c r="C1134" s="20" t="s">
        <v>1243</v>
      </c>
      <c r="D1134" s="20" t="s">
        <v>1247</v>
      </c>
      <c r="E1134" s="21" t="s">
        <v>17</v>
      </c>
      <c r="F1134" s="20" t="s">
        <v>18</v>
      </c>
      <c r="G1134" s="20" t="s">
        <v>19</v>
      </c>
      <c r="H1134" s="50">
        <v>45483</v>
      </c>
      <c r="I1134" s="19">
        <v>600</v>
      </c>
      <c r="J1134" s="24" t="s">
        <v>20</v>
      </c>
      <c r="K1134" s="36"/>
    </row>
    <row r="1135" ht="31" customHeight="1" spans="1:11">
      <c r="A1135" s="19">
        <v>1131</v>
      </c>
      <c r="B1135" s="20" t="s">
        <v>928</v>
      </c>
      <c r="C1135" s="20" t="s">
        <v>1248</v>
      </c>
      <c r="D1135" s="20" t="s">
        <v>1249</v>
      </c>
      <c r="E1135" s="21" t="s">
        <v>17</v>
      </c>
      <c r="F1135" s="20" t="s">
        <v>18</v>
      </c>
      <c r="G1135" s="20" t="s">
        <v>19</v>
      </c>
      <c r="H1135" s="50">
        <v>45323</v>
      </c>
      <c r="I1135" s="19">
        <v>600</v>
      </c>
      <c r="J1135" s="24" t="s">
        <v>20</v>
      </c>
      <c r="K1135" s="36"/>
    </row>
    <row r="1136" ht="31" customHeight="1" spans="1:11">
      <c r="A1136" s="19">
        <v>1132</v>
      </c>
      <c r="B1136" s="20" t="s">
        <v>928</v>
      </c>
      <c r="C1136" s="20" t="s">
        <v>1248</v>
      </c>
      <c r="D1136" s="20" t="s">
        <v>1250</v>
      </c>
      <c r="E1136" s="21" t="s">
        <v>17</v>
      </c>
      <c r="F1136" s="20" t="s">
        <v>18</v>
      </c>
      <c r="G1136" s="20" t="s">
        <v>19</v>
      </c>
      <c r="H1136" s="50">
        <v>45292</v>
      </c>
      <c r="I1136" s="19">
        <v>600</v>
      </c>
      <c r="J1136" s="24" t="s">
        <v>20</v>
      </c>
      <c r="K1136" s="36"/>
    </row>
    <row r="1137" ht="31" customHeight="1" spans="1:11">
      <c r="A1137" s="19">
        <v>1133</v>
      </c>
      <c r="B1137" s="20" t="s">
        <v>928</v>
      </c>
      <c r="C1137" s="20" t="s">
        <v>1248</v>
      </c>
      <c r="D1137" s="20" t="s">
        <v>1251</v>
      </c>
      <c r="E1137" s="21" t="s">
        <v>17</v>
      </c>
      <c r="F1137" s="20" t="s">
        <v>18</v>
      </c>
      <c r="G1137" s="20" t="s">
        <v>19</v>
      </c>
      <c r="H1137" s="50">
        <v>45292</v>
      </c>
      <c r="I1137" s="19">
        <v>600</v>
      </c>
      <c r="J1137" s="24" t="s">
        <v>20</v>
      </c>
      <c r="K1137" s="36"/>
    </row>
    <row r="1138" ht="31" customHeight="1" spans="1:11">
      <c r="A1138" s="19">
        <v>1134</v>
      </c>
      <c r="B1138" s="20" t="s">
        <v>928</v>
      </c>
      <c r="C1138" s="20" t="s">
        <v>1248</v>
      </c>
      <c r="D1138" s="20" t="s">
        <v>1252</v>
      </c>
      <c r="E1138" s="21" t="s">
        <v>17</v>
      </c>
      <c r="F1138" s="20" t="s">
        <v>18</v>
      </c>
      <c r="G1138" s="20" t="s">
        <v>19</v>
      </c>
      <c r="H1138" s="50">
        <v>45292</v>
      </c>
      <c r="I1138" s="19">
        <v>600</v>
      </c>
      <c r="J1138" s="24" t="s">
        <v>20</v>
      </c>
      <c r="K1138" s="36"/>
    </row>
    <row r="1139" ht="31" customHeight="1" spans="1:11">
      <c r="A1139" s="19">
        <v>1135</v>
      </c>
      <c r="B1139" s="19" t="s">
        <v>1253</v>
      </c>
      <c r="C1139" s="20" t="s">
        <v>1254</v>
      </c>
      <c r="D1139" s="53" t="s">
        <v>1255</v>
      </c>
      <c r="E1139" s="31" t="s">
        <v>17</v>
      </c>
      <c r="F1139" s="19" t="s">
        <v>18</v>
      </c>
      <c r="G1139" s="53" t="s">
        <v>55</v>
      </c>
      <c r="H1139" s="37">
        <v>45292</v>
      </c>
      <c r="I1139" s="19">
        <v>800</v>
      </c>
      <c r="J1139" s="24" t="s">
        <v>20</v>
      </c>
      <c r="K1139" s="36"/>
    </row>
    <row r="1140" ht="31" customHeight="1" spans="1:11">
      <c r="A1140" s="19">
        <v>1136</v>
      </c>
      <c r="B1140" s="19" t="s">
        <v>1253</v>
      </c>
      <c r="C1140" s="19" t="s">
        <v>1254</v>
      </c>
      <c r="D1140" s="53" t="s">
        <v>1256</v>
      </c>
      <c r="E1140" s="31" t="s">
        <v>17</v>
      </c>
      <c r="F1140" s="19" t="s">
        <v>18</v>
      </c>
      <c r="G1140" s="54" t="s">
        <v>29</v>
      </c>
      <c r="H1140" s="31" t="s">
        <v>238</v>
      </c>
      <c r="I1140" s="19">
        <v>800</v>
      </c>
      <c r="J1140" s="24" t="s">
        <v>20</v>
      </c>
      <c r="K1140" s="36"/>
    </row>
    <row r="1141" ht="31" customHeight="1" spans="1:11">
      <c r="A1141" s="19">
        <v>1137</v>
      </c>
      <c r="B1141" s="19" t="s">
        <v>1253</v>
      </c>
      <c r="C1141" s="19" t="s">
        <v>1254</v>
      </c>
      <c r="D1141" s="53" t="s">
        <v>1257</v>
      </c>
      <c r="E1141" s="31" t="s">
        <v>17</v>
      </c>
      <c r="F1141" s="19" t="s">
        <v>18</v>
      </c>
      <c r="G1141" s="54" t="s">
        <v>19</v>
      </c>
      <c r="H1141" s="31" t="s">
        <v>238</v>
      </c>
      <c r="I1141" s="19">
        <v>600</v>
      </c>
      <c r="J1141" s="24" t="s">
        <v>20</v>
      </c>
      <c r="K1141" s="36"/>
    </row>
    <row r="1142" ht="31" customHeight="1" spans="1:11">
      <c r="A1142" s="19">
        <v>1138</v>
      </c>
      <c r="B1142" s="19" t="s">
        <v>1253</v>
      </c>
      <c r="C1142" s="19" t="s">
        <v>1254</v>
      </c>
      <c r="D1142" s="53" t="s">
        <v>1258</v>
      </c>
      <c r="E1142" s="31" t="s">
        <v>17</v>
      </c>
      <c r="F1142" s="19" t="s">
        <v>18</v>
      </c>
      <c r="G1142" s="54" t="s">
        <v>19</v>
      </c>
      <c r="H1142" s="37">
        <v>45292</v>
      </c>
      <c r="I1142" s="19">
        <v>600</v>
      </c>
      <c r="J1142" s="24" t="s">
        <v>20</v>
      </c>
      <c r="K1142" s="36"/>
    </row>
    <row r="1143" ht="31" customHeight="1" spans="1:11">
      <c r="A1143" s="19">
        <v>1139</v>
      </c>
      <c r="B1143" s="19" t="s">
        <v>1253</v>
      </c>
      <c r="C1143" s="19" t="s">
        <v>1254</v>
      </c>
      <c r="D1143" s="53" t="s">
        <v>1259</v>
      </c>
      <c r="E1143" s="31" t="s">
        <v>17</v>
      </c>
      <c r="F1143" s="19" t="s">
        <v>18</v>
      </c>
      <c r="G1143" s="54" t="s">
        <v>19</v>
      </c>
      <c r="H1143" s="37">
        <v>45292</v>
      </c>
      <c r="I1143" s="19">
        <v>600</v>
      </c>
      <c r="J1143" s="24" t="s">
        <v>20</v>
      </c>
      <c r="K1143" s="36"/>
    </row>
    <row r="1144" ht="31" customHeight="1" spans="1:11">
      <c r="A1144" s="19">
        <v>1140</v>
      </c>
      <c r="B1144" s="19" t="s">
        <v>1253</v>
      </c>
      <c r="C1144" s="19" t="s">
        <v>1254</v>
      </c>
      <c r="D1144" s="53" t="s">
        <v>1260</v>
      </c>
      <c r="E1144" s="31" t="s">
        <v>17</v>
      </c>
      <c r="F1144" s="19" t="s">
        <v>18</v>
      </c>
      <c r="G1144" s="54" t="s">
        <v>295</v>
      </c>
      <c r="H1144" s="31" t="s">
        <v>238</v>
      </c>
      <c r="I1144" s="19">
        <v>600</v>
      </c>
      <c r="J1144" s="24" t="s">
        <v>20</v>
      </c>
      <c r="K1144" s="36"/>
    </row>
    <row r="1145" ht="31" customHeight="1" spans="1:11">
      <c r="A1145" s="19">
        <v>1141</v>
      </c>
      <c r="B1145" s="19" t="s">
        <v>1253</v>
      </c>
      <c r="C1145" s="19" t="s">
        <v>1254</v>
      </c>
      <c r="D1145" s="53" t="s">
        <v>1261</v>
      </c>
      <c r="E1145" s="31" t="s">
        <v>17</v>
      </c>
      <c r="F1145" s="19" t="s">
        <v>18</v>
      </c>
      <c r="G1145" s="54" t="s">
        <v>32</v>
      </c>
      <c r="H1145" s="31" t="s">
        <v>491</v>
      </c>
      <c r="I1145" s="19">
        <v>800</v>
      </c>
      <c r="J1145" s="24" t="s">
        <v>20</v>
      </c>
      <c r="K1145" s="36"/>
    </row>
    <row r="1146" ht="31" customHeight="1" spans="1:11">
      <c r="A1146" s="19">
        <v>1142</v>
      </c>
      <c r="B1146" s="19" t="s">
        <v>1253</v>
      </c>
      <c r="C1146" s="19" t="s">
        <v>1254</v>
      </c>
      <c r="D1146" s="53" t="s">
        <v>1262</v>
      </c>
      <c r="E1146" s="31" t="s">
        <v>17</v>
      </c>
      <c r="F1146" s="19" t="s">
        <v>18</v>
      </c>
      <c r="G1146" s="54" t="s">
        <v>19</v>
      </c>
      <c r="H1146" s="31" t="s">
        <v>446</v>
      </c>
      <c r="I1146" s="19">
        <v>600</v>
      </c>
      <c r="J1146" s="24" t="s">
        <v>20</v>
      </c>
      <c r="K1146" s="36"/>
    </row>
    <row r="1147" ht="31" customHeight="1" spans="1:11">
      <c r="A1147" s="19">
        <v>1143</v>
      </c>
      <c r="B1147" s="19" t="s">
        <v>1253</v>
      </c>
      <c r="C1147" s="19" t="s">
        <v>1254</v>
      </c>
      <c r="D1147" s="19" t="s">
        <v>1263</v>
      </c>
      <c r="E1147" s="31" t="s">
        <v>17</v>
      </c>
      <c r="F1147" s="53" t="s">
        <v>18</v>
      </c>
      <c r="G1147" s="19" t="s">
        <v>32</v>
      </c>
      <c r="H1147" s="31" t="s">
        <v>446</v>
      </c>
      <c r="I1147" s="19">
        <v>800</v>
      </c>
      <c r="J1147" s="24" t="s">
        <v>20</v>
      </c>
      <c r="K1147" s="36"/>
    </row>
    <row r="1148" ht="31" customHeight="1" spans="1:11">
      <c r="A1148" s="19">
        <v>1144</v>
      </c>
      <c r="B1148" s="19" t="s">
        <v>1253</v>
      </c>
      <c r="C1148" s="19" t="s">
        <v>1254</v>
      </c>
      <c r="D1148" s="19" t="s">
        <v>1264</v>
      </c>
      <c r="E1148" s="31" t="s">
        <v>17</v>
      </c>
      <c r="F1148" s="53" t="s">
        <v>18</v>
      </c>
      <c r="G1148" s="53" t="s">
        <v>19</v>
      </c>
      <c r="H1148" s="37">
        <v>45413</v>
      </c>
      <c r="I1148" s="19">
        <v>600</v>
      </c>
      <c r="J1148" s="24" t="s">
        <v>20</v>
      </c>
      <c r="K1148" s="36"/>
    </row>
    <row r="1149" ht="31" customHeight="1" spans="1:11">
      <c r="A1149" s="19">
        <v>1145</v>
      </c>
      <c r="B1149" s="19" t="s">
        <v>1253</v>
      </c>
      <c r="C1149" s="19" t="s">
        <v>1254</v>
      </c>
      <c r="D1149" s="53" t="s">
        <v>1265</v>
      </c>
      <c r="E1149" s="31" t="s">
        <v>17</v>
      </c>
      <c r="F1149" s="53" t="s">
        <v>18</v>
      </c>
      <c r="G1149" s="53" t="s">
        <v>38</v>
      </c>
      <c r="H1149" s="37">
        <v>45292</v>
      </c>
      <c r="I1149" s="19">
        <v>600</v>
      </c>
      <c r="J1149" s="24" t="s">
        <v>20</v>
      </c>
      <c r="K1149" s="36"/>
    </row>
    <row r="1150" ht="31" customHeight="1" spans="1:11">
      <c r="A1150" s="19">
        <v>1146</v>
      </c>
      <c r="B1150" s="19" t="s">
        <v>1253</v>
      </c>
      <c r="C1150" s="19" t="s">
        <v>1254</v>
      </c>
      <c r="D1150" s="53" t="s">
        <v>1266</v>
      </c>
      <c r="E1150" s="31" t="s">
        <v>17</v>
      </c>
      <c r="F1150" s="19" t="s">
        <v>18</v>
      </c>
      <c r="G1150" s="54" t="s">
        <v>19</v>
      </c>
      <c r="H1150" s="31" t="s">
        <v>238</v>
      </c>
      <c r="I1150" s="19">
        <v>600</v>
      </c>
      <c r="J1150" s="24" t="s">
        <v>20</v>
      </c>
      <c r="K1150" s="36"/>
    </row>
    <row r="1151" ht="31" customHeight="1" spans="1:11">
      <c r="A1151" s="19">
        <v>1147</v>
      </c>
      <c r="B1151" s="19" t="s">
        <v>1253</v>
      </c>
      <c r="C1151" s="19" t="s">
        <v>1254</v>
      </c>
      <c r="D1151" s="53" t="s">
        <v>1267</v>
      </c>
      <c r="E1151" s="31" t="s">
        <v>17</v>
      </c>
      <c r="F1151" s="19" t="s">
        <v>18</v>
      </c>
      <c r="G1151" s="54" t="s">
        <v>19</v>
      </c>
      <c r="H1151" s="31" t="s">
        <v>446</v>
      </c>
      <c r="I1151" s="19">
        <v>600</v>
      </c>
      <c r="J1151" s="24" t="s">
        <v>20</v>
      </c>
      <c r="K1151" s="36"/>
    </row>
    <row r="1152" ht="31" customHeight="1" spans="1:11">
      <c r="A1152" s="19">
        <v>1148</v>
      </c>
      <c r="B1152" s="19" t="s">
        <v>1253</v>
      </c>
      <c r="C1152" s="19" t="s">
        <v>1254</v>
      </c>
      <c r="D1152" s="53" t="s">
        <v>1268</v>
      </c>
      <c r="E1152" s="31" t="s">
        <v>17</v>
      </c>
      <c r="F1152" s="19" t="s">
        <v>18</v>
      </c>
      <c r="G1152" s="54" t="s">
        <v>32</v>
      </c>
      <c r="H1152" s="23">
        <v>45474</v>
      </c>
      <c r="I1152" s="19">
        <v>800</v>
      </c>
      <c r="J1152" s="24" t="s">
        <v>20</v>
      </c>
      <c r="K1152" s="36"/>
    </row>
    <row r="1153" ht="31" customHeight="1" spans="1:11">
      <c r="A1153" s="19">
        <v>1149</v>
      </c>
      <c r="B1153" s="19" t="s">
        <v>1253</v>
      </c>
      <c r="C1153" s="19" t="s">
        <v>1254</v>
      </c>
      <c r="D1153" s="19" t="s">
        <v>1269</v>
      </c>
      <c r="E1153" s="31" t="s">
        <v>17</v>
      </c>
      <c r="F1153" s="19" t="s">
        <v>18</v>
      </c>
      <c r="G1153" s="19" t="s">
        <v>19</v>
      </c>
      <c r="H1153" s="37">
        <v>45413</v>
      </c>
      <c r="I1153" s="19">
        <f>IF(F1153="是",VLOOKUP(G1153,[207]Sheet2!A:C,3,FALSE),VLOOKUP(G1153,[207]Sheet2!A:B,2,FALSE))</f>
        <v>600</v>
      </c>
      <c r="J1153" s="24" t="s">
        <v>20</v>
      </c>
      <c r="K1153" s="36"/>
    </row>
    <row r="1154" ht="31" customHeight="1" spans="1:11">
      <c r="A1154" s="19">
        <v>1150</v>
      </c>
      <c r="B1154" s="19" t="s">
        <v>1253</v>
      </c>
      <c r="C1154" s="19" t="s">
        <v>1254</v>
      </c>
      <c r="D1154" s="19" t="s">
        <v>1270</v>
      </c>
      <c r="E1154" s="31" t="s">
        <v>17</v>
      </c>
      <c r="F1154" s="19" t="s">
        <v>18</v>
      </c>
      <c r="G1154" s="19" t="s">
        <v>19</v>
      </c>
      <c r="H1154" s="31" t="s">
        <v>446</v>
      </c>
      <c r="I1154" s="19">
        <v>600</v>
      </c>
      <c r="J1154" s="24" t="s">
        <v>20</v>
      </c>
      <c r="K1154" s="36"/>
    </row>
    <row r="1155" ht="31" customHeight="1" spans="1:11">
      <c r="A1155" s="19">
        <v>1151</v>
      </c>
      <c r="B1155" s="19" t="s">
        <v>1253</v>
      </c>
      <c r="C1155" s="20" t="s">
        <v>1254</v>
      </c>
      <c r="D1155" s="20" t="s">
        <v>1271</v>
      </c>
      <c r="E1155" s="31" t="s">
        <v>17</v>
      </c>
      <c r="F1155" s="19" t="s">
        <v>18</v>
      </c>
      <c r="G1155" s="19" t="s">
        <v>19</v>
      </c>
      <c r="H1155" s="37">
        <v>45292</v>
      </c>
      <c r="I1155" s="19">
        <f>IF(F1155="是",VLOOKUP(G1155,[207]Sheet2!A:C,3,FALSE),VLOOKUP(G1155,[207]Sheet2!A:B,2,FALSE))</f>
        <v>600</v>
      </c>
      <c r="J1155" s="24" t="s">
        <v>20</v>
      </c>
      <c r="K1155" s="36"/>
    </row>
    <row r="1156" ht="31" customHeight="1" spans="1:11">
      <c r="A1156" s="19">
        <v>1152</v>
      </c>
      <c r="B1156" s="19" t="s">
        <v>1253</v>
      </c>
      <c r="C1156" s="19" t="s">
        <v>1254</v>
      </c>
      <c r="D1156" s="19" t="s">
        <v>1272</v>
      </c>
      <c r="E1156" s="31" t="s">
        <v>17</v>
      </c>
      <c r="F1156" s="19" t="s">
        <v>18</v>
      </c>
      <c r="G1156" s="19" t="s">
        <v>19</v>
      </c>
      <c r="H1156" s="31" t="s">
        <v>238</v>
      </c>
      <c r="I1156" s="19">
        <f>IF(F1156="是",VLOOKUP(G1156,[207]Sheet2!A:C,3,FALSE),VLOOKUP(G1156,[207]Sheet2!A:B,2,FALSE))</f>
        <v>600</v>
      </c>
      <c r="J1156" s="24" t="s">
        <v>20</v>
      </c>
      <c r="K1156" s="36"/>
    </row>
    <row r="1157" ht="31" customHeight="1" spans="1:11">
      <c r="A1157" s="19">
        <v>1153</v>
      </c>
      <c r="B1157" s="19" t="s">
        <v>1253</v>
      </c>
      <c r="C1157" s="19" t="s">
        <v>1254</v>
      </c>
      <c r="D1157" s="19" t="s">
        <v>1273</v>
      </c>
      <c r="E1157" s="31" t="s">
        <v>17</v>
      </c>
      <c r="F1157" s="19" t="s">
        <v>18</v>
      </c>
      <c r="G1157" s="19" t="s">
        <v>19</v>
      </c>
      <c r="H1157" s="31" t="s">
        <v>238</v>
      </c>
      <c r="I1157" s="19">
        <v>600</v>
      </c>
      <c r="J1157" s="24" t="s">
        <v>20</v>
      </c>
      <c r="K1157" s="36"/>
    </row>
    <row r="1158" ht="31" customHeight="1" spans="1:11">
      <c r="A1158" s="19">
        <v>1154</v>
      </c>
      <c r="B1158" s="19" t="s">
        <v>1253</v>
      </c>
      <c r="C1158" s="20" t="s">
        <v>1254</v>
      </c>
      <c r="D1158" s="20" t="s">
        <v>1274</v>
      </c>
      <c r="E1158" s="31" t="s">
        <v>17</v>
      </c>
      <c r="F1158" s="19" t="s">
        <v>18</v>
      </c>
      <c r="G1158" s="19" t="s">
        <v>29</v>
      </c>
      <c r="H1158" s="31" t="s">
        <v>238</v>
      </c>
      <c r="I1158" s="19">
        <v>800</v>
      </c>
      <c r="J1158" s="24" t="s">
        <v>20</v>
      </c>
      <c r="K1158" s="36"/>
    </row>
    <row r="1159" ht="31" customHeight="1" spans="1:11">
      <c r="A1159" s="19">
        <v>1155</v>
      </c>
      <c r="B1159" s="19" t="s">
        <v>1253</v>
      </c>
      <c r="C1159" s="19" t="s">
        <v>1254</v>
      </c>
      <c r="D1159" s="19" t="s">
        <v>1275</v>
      </c>
      <c r="E1159" s="31" t="s">
        <v>17</v>
      </c>
      <c r="F1159" s="19" t="s">
        <v>18</v>
      </c>
      <c r="G1159" s="19" t="s">
        <v>19</v>
      </c>
      <c r="H1159" s="37">
        <v>45292</v>
      </c>
      <c r="I1159" s="19">
        <f>IF(F1159="是",VLOOKUP(G1159,[207]Sheet2!A:C,3,FALSE),VLOOKUP(G1159,[207]Sheet2!A:B,2,FALSE))</f>
        <v>600</v>
      </c>
      <c r="J1159" s="24" t="s">
        <v>20</v>
      </c>
      <c r="K1159" s="36"/>
    </row>
    <row r="1160" ht="31" customHeight="1" spans="1:11">
      <c r="A1160" s="19">
        <v>1156</v>
      </c>
      <c r="B1160" s="19" t="s">
        <v>1253</v>
      </c>
      <c r="C1160" s="19" t="s">
        <v>1254</v>
      </c>
      <c r="D1160" s="19" t="s">
        <v>1276</v>
      </c>
      <c r="E1160" s="31" t="s">
        <v>17</v>
      </c>
      <c r="F1160" s="19" t="s">
        <v>18</v>
      </c>
      <c r="G1160" s="19" t="s">
        <v>19</v>
      </c>
      <c r="H1160" s="31" t="s">
        <v>238</v>
      </c>
      <c r="I1160" s="19">
        <v>600</v>
      </c>
      <c r="J1160" s="24" t="s">
        <v>20</v>
      </c>
      <c r="K1160" s="36"/>
    </row>
    <row r="1161" ht="31" customHeight="1" spans="1:11">
      <c r="A1161" s="19">
        <v>1157</v>
      </c>
      <c r="B1161" s="19" t="s">
        <v>1253</v>
      </c>
      <c r="C1161" s="19" t="s">
        <v>1254</v>
      </c>
      <c r="D1161" s="19" t="s">
        <v>1277</v>
      </c>
      <c r="E1161" s="31" t="s">
        <v>17</v>
      </c>
      <c r="F1161" s="19" t="s">
        <v>18</v>
      </c>
      <c r="G1161" s="19" t="s">
        <v>19</v>
      </c>
      <c r="H1161" s="31" t="s">
        <v>446</v>
      </c>
      <c r="I1161" s="19">
        <v>600</v>
      </c>
      <c r="J1161" s="24" t="s">
        <v>20</v>
      </c>
      <c r="K1161" s="36"/>
    </row>
    <row r="1162" ht="31" customHeight="1" spans="1:11">
      <c r="A1162" s="19">
        <v>1158</v>
      </c>
      <c r="B1162" s="19" t="s">
        <v>1253</v>
      </c>
      <c r="C1162" s="19" t="s">
        <v>1254</v>
      </c>
      <c r="D1162" s="19" t="s">
        <v>1278</v>
      </c>
      <c r="E1162" s="31" t="s">
        <v>17</v>
      </c>
      <c r="F1162" s="19" t="s">
        <v>18</v>
      </c>
      <c r="G1162" s="19" t="s">
        <v>19</v>
      </c>
      <c r="H1162" s="23">
        <v>45474</v>
      </c>
      <c r="I1162" s="19">
        <f>IF(F1162="是",VLOOKUP(G1162,[202]Sheet2!A:C,3,FALSE),VLOOKUP(G1162,[202]Sheet2!A:B,2,FALSE))</f>
        <v>600</v>
      </c>
      <c r="J1162" s="24" t="s">
        <v>20</v>
      </c>
      <c r="K1162" s="36"/>
    </row>
    <row r="1163" ht="31" customHeight="1" spans="1:11">
      <c r="A1163" s="19">
        <v>1159</v>
      </c>
      <c r="B1163" s="19" t="s">
        <v>1253</v>
      </c>
      <c r="C1163" s="19" t="s">
        <v>1254</v>
      </c>
      <c r="D1163" s="19" t="s">
        <v>1279</v>
      </c>
      <c r="E1163" s="31" t="s">
        <v>17</v>
      </c>
      <c r="F1163" s="19" t="s">
        <v>18</v>
      </c>
      <c r="G1163" s="19" t="s">
        <v>19</v>
      </c>
      <c r="H1163" s="31" t="s">
        <v>238</v>
      </c>
      <c r="I1163" s="19">
        <f>IF(F1163="是",VLOOKUP(G1163,[203]Sheet2!A:C,3,FALSE),VLOOKUP(G1163,[203]Sheet2!A:B,2,FALSE))</f>
        <v>600</v>
      </c>
      <c r="J1163" s="24" t="s">
        <v>20</v>
      </c>
      <c r="K1163" s="36"/>
    </row>
    <row r="1164" ht="31" customHeight="1" spans="1:11">
      <c r="A1164" s="19">
        <v>1160</v>
      </c>
      <c r="B1164" s="19" t="s">
        <v>1253</v>
      </c>
      <c r="C1164" s="19" t="s">
        <v>1254</v>
      </c>
      <c r="D1164" s="19" t="s">
        <v>1280</v>
      </c>
      <c r="E1164" s="31" t="s">
        <v>17</v>
      </c>
      <c r="F1164" s="19" t="s">
        <v>18</v>
      </c>
      <c r="G1164" s="19" t="s">
        <v>19</v>
      </c>
      <c r="H1164" s="31" t="s">
        <v>446</v>
      </c>
      <c r="I1164" s="19">
        <f>IF(F1164="是",VLOOKUP(G1164,[203]Sheet2!A:C,3,FALSE),VLOOKUP(G1164,[203]Sheet2!A:B,2,FALSE))</f>
        <v>600</v>
      </c>
      <c r="J1164" s="24" t="s">
        <v>20</v>
      </c>
      <c r="K1164" s="36"/>
    </row>
    <row r="1165" ht="31" customHeight="1" spans="1:11">
      <c r="A1165" s="19">
        <v>1161</v>
      </c>
      <c r="B1165" s="19" t="s">
        <v>1253</v>
      </c>
      <c r="C1165" s="19" t="s">
        <v>1254</v>
      </c>
      <c r="D1165" s="19" t="s">
        <v>1281</v>
      </c>
      <c r="E1165" s="31" t="s">
        <v>17</v>
      </c>
      <c r="F1165" s="19" t="s">
        <v>18</v>
      </c>
      <c r="G1165" s="19" t="s">
        <v>464</v>
      </c>
      <c r="H1165" s="37">
        <v>45413</v>
      </c>
      <c r="I1165" s="19">
        <v>800</v>
      </c>
      <c r="J1165" s="24" t="s">
        <v>20</v>
      </c>
      <c r="K1165" s="36"/>
    </row>
    <row r="1166" ht="31" customHeight="1" spans="1:11">
      <c r="A1166" s="19">
        <v>1162</v>
      </c>
      <c r="B1166" s="19" t="s">
        <v>1253</v>
      </c>
      <c r="C1166" s="19" t="s">
        <v>1254</v>
      </c>
      <c r="D1166" s="19" t="s">
        <v>1282</v>
      </c>
      <c r="E1166" s="31" t="s">
        <v>781</v>
      </c>
      <c r="F1166" s="19" t="s">
        <v>82</v>
      </c>
      <c r="G1166" s="19" t="s">
        <v>19</v>
      </c>
      <c r="H1166" s="31" t="s">
        <v>446</v>
      </c>
      <c r="I1166" s="19">
        <v>600</v>
      </c>
      <c r="J1166" s="24" t="s">
        <v>20</v>
      </c>
      <c r="K1166" s="36"/>
    </row>
    <row r="1167" ht="31" customHeight="1" spans="1:11">
      <c r="A1167" s="19">
        <v>1163</v>
      </c>
      <c r="B1167" s="19" t="s">
        <v>1253</v>
      </c>
      <c r="C1167" s="19" t="s">
        <v>1254</v>
      </c>
      <c r="D1167" s="19" t="s">
        <v>1283</v>
      </c>
      <c r="E1167" s="31" t="s">
        <v>17</v>
      </c>
      <c r="F1167" s="19" t="s">
        <v>18</v>
      </c>
      <c r="G1167" s="19" t="s">
        <v>19</v>
      </c>
      <c r="H1167" s="37">
        <v>45292</v>
      </c>
      <c r="I1167" s="19">
        <v>600</v>
      </c>
      <c r="J1167" s="24" t="s">
        <v>20</v>
      </c>
      <c r="K1167" s="36"/>
    </row>
    <row r="1168" ht="31" customHeight="1" spans="1:11">
      <c r="A1168" s="19">
        <v>1164</v>
      </c>
      <c r="B1168" s="19" t="s">
        <v>1253</v>
      </c>
      <c r="C1168" s="19" t="s">
        <v>1254</v>
      </c>
      <c r="D1168" s="19" t="s">
        <v>1284</v>
      </c>
      <c r="E1168" s="31" t="s">
        <v>17</v>
      </c>
      <c r="F1168" s="19" t="s">
        <v>18</v>
      </c>
      <c r="G1168" s="19" t="s">
        <v>19</v>
      </c>
      <c r="H1168" s="31" t="s">
        <v>446</v>
      </c>
      <c r="I1168" s="19">
        <v>600</v>
      </c>
      <c r="J1168" s="24" t="s">
        <v>20</v>
      </c>
      <c r="K1168" s="36"/>
    </row>
    <row r="1169" ht="31" customHeight="1" spans="1:11">
      <c r="A1169" s="19">
        <v>1165</v>
      </c>
      <c r="B1169" s="19" t="s">
        <v>1253</v>
      </c>
      <c r="C1169" s="19" t="s">
        <v>1254</v>
      </c>
      <c r="D1169" s="19" t="s">
        <v>1285</v>
      </c>
      <c r="E1169" s="31" t="s">
        <v>17</v>
      </c>
      <c r="F1169" s="19" t="s">
        <v>18</v>
      </c>
      <c r="G1169" s="19" t="s">
        <v>19</v>
      </c>
      <c r="H1169" s="31" t="s">
        <v>446</v>
      </c>
      <c r="I1169" s="19">
        <f>IF(F1169="是",VLOOKUP(G1169,[204]Sheet2!A:C,3,FALSE),VLOOKUP(G1169,[204]Sheet2!A:B,2,FALSE))</f>
        <v>600</v>
      </c>
      <c r="J1169" s="24" t="s">
        <v>20</v>
      </c>
      <c r="K1169" s="36"/>
    </row>
    <row r="1170" ht="31" customHeight="1" spans="1:11">
      <c r="A1170" s="19">
        <v>1166</v>
      </c>
      <c r="B1170" s="19" t="s">
        <v>1253</v>
      </c>
      <c r="C1170" s="19" t="s">
        <v>1254</v>
      </c>
      <c r="D1170" s="19" t="s">
        <v>1286</v>
      </c>
      <c r="E1170" s="31" t="s">
        <v>17</v>
      </c>
      <c r="F1170" s="19" t="s">
        <v>18</v>
      </c>
      <c r="G1170" s="19" t="s">
        <v>98</v>
      </c>
      <c r="H1170" s="31" t="s">
        <v>446</v>
      </c>
      <c r="I1170" s="19">
        <f>IF(F1170="是",VLOOKUP(G1170,[206]Sheet2!A:C,3,FALSE),VLOOKUP(G1170,[206]Sheet2!A:B,2,FALSE))</f>
        <v>800</v>
      </c>
      <c r="J1170" s="24" t="s">
        <v>20</v>
      </c>
      <c r="K1170" s="36"/>
    </row>
    <row r="1171" ht="31" customHeight="1" spans="1:11">
      <c r="A1171" s="19">
        <v>1167</v>
      </c>
      <c r="B1171" s="19" t="s">
        <v>1253</v>
      </c>
      <c r="C1171" s="19" t="s">
        <v>1254</v>
      </c>
      <c r="D1171" s="19" t="s">
        <v>1287</v>
      </c>
      <c r="E1171" s="31" t="s">
        <v>17</v>
      </c>
      <c r="F1171" s="19" t="s">
        <v>18</v>
      </c>
      <c r="G1171" s="19" t="s">
        <v>98</v>
      </c>
      <c r="H1171" s="31" t="s">
        <v>446</v>
      </c>
      <c r="I1171" s="19">
        <f>IF(F1171="是",VLOOKUP(G1171,[205]Sheet2!A:C,3,FALSE),VLOOKUP(G1171,[205]Sheet2!A:B,2,FALSE))</f>
        <v>800</v>
      </c>
      <c r="J1171" s="24" t="s">
        <v>20</v>
      </c>
      <c r="K1171" s="36"/>
    </row>
    <row r="1172" ht="31" customHeight="1" spans="1:11">
      <c r="A1172" s="19">
        <v>1168</v>
      </c>
      <c r="B1172" s="19" t="s">
        <v>1253</v>
      </c>
      <c r="C1172" s="19" t="s">
        <v>1254</v>
      </c>
      <c r="D1172" s="19" t="s">
        <v>1288</v>
      </c>
      <c r="E1172" s="31" t="s">
        <v>17</v>
      </c>
      <c r="F1172" s="19" t="s">
        <v>18</v>
      </c>
      <c r="G1172" s="19" t="s">
        <v>19</v>
      </c>
      <c r="H1172" s="31" t="s">
        <v>238</v>
      </c>
      <c r="I1172" s="19">
        <f>IF(F1172="是",VLOOKUP(G1172,[203]Sheet2!A:C,3,FALSE),VLOOKUP(G1172,[203]Sheet2!A:B,2,FALSE))</f>
        <v>600</v>
      </c>
      <c r="J1172" s="24" t="s">
        <v>20</v>
      </c>
      <c r="K1172" s="36"/>
    </row>
    <row r="1173" ht="31" customHeight="1" spans="1:11">
      <c r="A1173" s="19">
        <v>1169</v>
      </c>
      <c r="B1173" s="20" t="s">
        <v>1253</v>
      </c>
      <c r="C1173" s="20" t="s">
        <v>1254</v>
      </c>
      <c r="D1173" s="53" t="s">
        <v>1289</v>
      </c>
      <c r="E1173" s="21" t="s">
        <v>17</v>
      </c>
      <c r="F1173" s="20" t="s">
        <v>18</v>
      </c>
      <c r="G1173" s="54" t="s">
        <v>55</v>
      </c>
      <c r="H1173" s="37">
        <v>45383</v>
      </c>
      <c r="I1173" s="19">
        <v>800</v>
      </c>
      <c r="J1173" s="24" t="s">
        <v>20</v>
      </c>
      <c r="K1173" s="36"/>
    </row>
    <row r="1174" ht="31" customHeight="1" spans="1:11">
      <c r="A1174" s="19">
        <v>1170</v>
      </c>
      <c r="B1174" s="19" t="s">
        <v>1253</v>
      </c>
      <c r="C1174" s="20" t="s">
        <v>1290</v>
      </c>
      <c r="D1174" s="20" t="s">
        <v>1291</v>
      </c>
      <c r="E1174" s="31" t="s">
        <v>17</v>
      </c>
      <c r="F1174" s="19" t="s">
        <v>18</v>
      </c>
      <c r="G1174" s="19" t="s">
        <v>29</v>
      </c>
      <c r="H1174" s="37">
        <v>45292</v>
      </c>
      <c r="I1174" s="19">
        <f>IF(F1174="是",VLOOKUP(G1174,[172]Sheet2!A:C,3,FALSE),VLOOKUP(G1174,[172]Sheet2!A:B,2,FALSE))</f>
        <v>800</v>
      </c>
      <c r="J1174" s="24" t="s">
        <v>20</v>
      </c>
      <c r="K1174" s="36"/>
    </row>
    <row r="1175" ht="31" customHeight="1" spans="1:11">
      <c r="A1175" s="19">
        <v>1171</v>
      </c>
      <c r="B1175" s="19" t="s">
        <v>1253</v>
      </c>
      <c r="C1175" s="19" t="s">
        <v>1290</v>
      </c>
      <c r="D1175" s="19" t="s">
        <v>1292</v>
      </c>
      <c r="E1175" s="31" t="s">
        <v>17</v>
      </c>
      <c r="F1175" s="19" t="s">
        <v>18</v>
      </c>
      <c r="G1175" s="19" t="s">
        <v>29</v>
      </c>
      <c r="H1175" s="37">
        <v>45292</v>
      </c>
      <c r="I1175" s="19">
        <f>IF(F1175="是",VLOOKUP(G1175,[172]Sheet2!A:C,3,FALSE),VLOOKUP(G1175,[172]Sheet2!A:B,2,FALSE))</f>
        <v>800</v>
      </c>
      <c r="J1175" s="24" t="s">
        <v>20</v>
      </c>
      <c r="K1175" s="36"/>
    </row>
    <row r="1176" ht="31" customHeight="1" spans="1:11">
      <c r="A1176" s="19">
        <v>1172</v>
      </c>
      <c r="B1176" s="19" t="s">
        <v>1253</v>
      </c>
      <c r="C1176" s="19" t="s">
        <v>1290</v>
      </c>
      <c r="D1176" s="19" t="s">
        <v>1293</v>
      </c>
      <c r="E1176" s="31" t="s">
        <v>17</v>
      </c>
      <c r="F1176" s="19" t="s">
        <v>18</v>
      </c>
      <c r="G1176" s="19" t="s">
        <v>19</v>
      </c>
      <c r="H1176" s="37">
        <v>45292</v>
      </c>
      <c r="I1176" s="19">
        <f>IF(F1176="是",VLOOKUP(G1176,[173]Sheet2!A:C,3,FALSE),VLOOKUP(G1176,[173]Sheet2!A:B,2,FALSE))</f>
        <v>600</v>
      </c>
      <c r="J1176" s="24" t="s">
        <v>20</v>
      </c>
      <c r="K1176" s="36"/>
    </row>
    <row r="1177" ht="31" customHeight="1" spans="1:11">
      <c r="A1177" s="19">
        <v>1173</v>
      </c>
      <c r="B1177" s="19" t="s">
        <v>1253</v>
      </c>
      <c r="C1177" s="19" t="s">
        <v>1290</v>
      </c>
      <c r="D1177" s="19" t="s">
        <v>1294</v>
      </c>
      <c r="E1177" s="31" t="s">
        <v>17</v>
      </c>
      <c r="F1177" s="19" t="s">
        <v>18</v>
      </c>
      <c r="G1177" s="19" t="s">
        <v>19</v>
      </c>
      <c r="H1177" s="37">
        <v>45292</v>
      </c>
      <c r="I1177" s="19">
        <f>IF(F1177="是",VLOOKUP(G1177,[173]Sheet2!A:C,3,FALSE),VLOOKUP(G1177,[173]Sheet2!A:B,2,FALSE))</f>
        <v>600</v>
      </c>
      <c r="J1177" s="24" t="s">
        <v>20</v>
      </c>
      <c r="K1177" s="36"/>
    </row>
    <row r="1178" ht="31" customHeight="1" spans="1:11">
      <c r="A1178" s="19">
        <v>1174</v>
      </c>
      <c r="B1178" s="19" t="s">
        <v>1253</v>
      </c>
      <c r="C1178" s="19" t="s">
        <v>1290</v>
      </c>
      <c r="D1178" s="19" t="s">
        <v>1295</v>
      </c>
      <c r="E1178" s="31" t="s">
        <v>17</v>
      </c>
      <c r="F1178" s="19" t="s">
        <v>18</v>
      </c>
      <c r="G1178" s="19" t="s">
        <v>19</v>
      </c>
      <c r="H1178" s="37">
        <v>45292</v>
      </c>
      <c r="I1178" s="19">
        <f>IF(F1178="是",VLOOKUP(G1178,[173]Sheet2!A:C,3,FALSE),VLOOKUP(G1178,[173]Sheet2!A:B,2,FALSE))</f>
        <v>600</v>
      </c>
      <c r="J1178" s="24" t="s">
        <v>20</v>
      </c>
      <c r="K1178" s="36"/>
    </row>
    <row r="1179" ht="31" customHeight="1" spans="1:11">
      <c r="A1179" s="19">
        <v>1175</v>
      </c>
      <c r="B1179" s="19" t="s">
        <v>1253</v>
      </c>
      <c r="C1179" s="19" t="s">
        <v>1290</v>
      </c>
      <c r="D1179" s="19" t="s">
        <v>1296</v>
      </c>
      <c r="E1179" s="31" t="s">
        <v>17</v>
      </c>
      <c r="F1179" s="19" t="s">
        <v>18</v>
      </c>
      <c r="G1179" s="19" t="s">
        <v>19</v>
      </c>
      <c r="H1179" s="37">
        <v>45292</v>
      </c>
      <c r="I1179" s="19">
        <f>IF(F1179="是",VLOOKUP(G1179,[173]Sheet2!A:C,3,FALSE),VLOOKUP(G1179,[173]Sheet2!A:B,2,FALSE))</f>
        <v>600</v>
      </c>
      <c r="J1179" s="24" t="s">
        <v>20</v>
      </c>
      <c r="K1179" s="36"/>
    </row>
    <row r="1180" ht="31" customHeight="1" spans="1:11">
      <c r="A1180" s="19">
        <v>1176</v>
      </c>
      <c r="B1180" s="19" t="s">
        <v>1253</v>
      </c>
      <c r="C1180" s="20" t="s">
        <v>1290</v>
      </c>
      <c r="D1180" s="20" t="s">
        <v>1297</v>
      </c>
      <c r="E1180" s="31" t="s">
        <v>17</v>
      </c>
      <c r="F1180" s="51" t="s">
        <v>18</v>
      </c>
      <c r="G1180" s="20" t="s">
        <v>19</v>
      </c>
      <c r="H1180" s="31" t="s">
        <v>238</v>
      </c>
      <c r="I1180" s="19">
        <v>600</v>
      </c>
      <c r="J1180" s="24" t="s">
        <v>20</v>
      </c>
      <c r="K1180" s="36"/>
    </row>
    <row r="1181" ht="31" customHeight="1" spans="1:11">
      <c r="A1181" s="19">
        <v>1177</v>
      </c>
      <c r="B1181" s="19" t="s">
        <v>1253</v>
      </c>
      <c r="C1181" s="19" t="s">
        <v>1290</v>
      </c>
      <c r="D1181" s="19" t="s">
        <v>1298</v>
      </c>
      <c r="E1181" s="31" t="s">
        <v>17</v>
      </c>
      <c r="F1181" s="19" t="s">
        <v>18</v>
      </c>
      <c r="G1181" s="19" t="s">
        <v>19</v>
      </c>
      <c r="H1181" s="31" t="s">
        <v>238</v>
      </c>
      <c r="I1181" s="19">
        <f>IF(F1181="是",VLOOKUP(G1181,[174]Sheet2!A:C,3,FALSE),VLOOKUP(G1181,[174]Sheet2!A:B,2,FALSE))</f>
        <v>600</v>
      </c>
      <c r="J1181" s="24" t="s">
        <v>20</v>
      </c>
      <c r="K1181" s="36"/>
    </row>
    <row r="1182" ht="31" customHeight="1" spans="1:11">
      <c r="A1182" s="19">
        <v>1178</v>
      </c>
      <c r="B1182" s="19" t="s">
        <v>1253</v>
      </c>
      <c r="C1182" s="19" t="s">
        <v>1290</v>
      </c>
      <c r="D1182" s="19" t="s">
        <v>1299</v>
      </c>
      <c r="E1182" s="31" t="s">
        <v>17</v>
      </c>
      <c r="F1182" s="19" t="s">
        <v>18</v>
      </c>
      <c r="G1182" s="19" t="s">
        <v>19</v>
      </c>
      <c r="H1182" s="31" t="s">
        <v>446</v>
      </c>
      <c r="I1182" s="19">
        <f>IF(F1182="是",VLOOKUP(G1182,[175]Sheet2!A:C,3,FALSE),VLOOKUP(G1182,[175]Sheet2!A:B,2,FALSE))</f>
        <v>600</v>
      </c>
      <c r="J1182" s="24" t="s">
        <v>20</v>
      </c>
      <c r="K1182" s="36"/>
    </row>
    <row r="1183" ht="31" customHeight="1" spans="1:11">
      <c r="A1183" s="19">
        <v>1179</v>
      </c>
      <c r="B1183" s="19" t="s">
        <v>1253</v>
      </c>
      <c r="C1183" s="19" t="s">
        <v>1290</v>
      </c>
      <c r="D1183" s="19" t="s">
        <v>1300</v>
      </c>
      <c r="E1183" s="31" t="s">
        <v>17</v>
      </c>
      <c r="F1183" s="19" t="s">
        <v>18</v>
      </c>
      <c r="G1183" s="19" t="s">
        <v>19</v>
      </c>
      <c r="H1183" s="31" t="s">
        <v>446</v>
      </c>
      <c r="I1183" s="19">
        <f>IF(F1183="是",VLOOKUP(G1183,[175]Sheet2!A:C,3,FALSE),VLOOKUP(G1183,[175]Sheet2!A:B,2,FALSE))</f>
        <v>600</v>
      </c>
      <c r="J1183" s="24" t="s">
        <v>20</v>
      </c>
      <c r="K1183" s="36"/>
    </row>
    <row r="1184" ht="31" customHeight="1" spans="1:12">
      <c r="A1184" s="19">
        <v>1180</v>
      </c>
      <c r="B1184" s="19" t="s">
        <v>1253</v>
      </c>
      <c r="C1184" s="19" t="s">
        <v>1290</v>
      </c>
      <c r="D1184" s="19" t="s">
        <v>1301</v>
      </c>
      <c r="E1184" s="31" t="s">
        <v>17</v>
      </c>
      <c r="F1184" s="19" t="s">
        <v>18</v>
      </c>
      <c r="G1184" s="19" t="s">
        <v>19</v>
      </c>
      <c r="H1184" s="31" t="s">
        <v>238</v>
      </c>
      <c r="I1184" s="19">
        <f>IF(F1184="是",VLOOKUP(G1184,[176]Sheet2!A:C,3,FALSE),VLOOKUP(G1184,[176]Sheet2!A:B,2,FALSE))</f>
        <v>600</v>
      </c>
      <c r="J1184" s="24" t="s">
        <v>20</v>
      </c>
      <c r="K1184" s="36"/>
      <c r="L1184" s="56"/>
    </row>
    <row r="1185" ht="31" customHeight="1" spans="1:11">
      <c r="A1185" s="19">
        <v>1181</v>
      </c>
      <c r="B1185" s="19" t="s">
        <v>1253</v>
      </c>
      <c r="C1185" s="19" t="s">
        <v>1290</v>
      </c>
      <c r="D1185" s="19" t="s">
        <v>1302</v>
      </c>
      <c r="E1185" s="31" t="s">
        <v>17</v>
      </c>
      <c r="F1185" s="19" t="s">
        <v>18</v>
      </c>
      <c r="G1185" s="19" t="s">
        <v>19</v>
      </c>
      <c r="H1185" s="31" t="s">
        <v>238</v>
      </c>
      <c r="I1185" s="19">
        <f>IF(F1185="是",VLOOKUP(G1185,[177]Sheet2!A:C,3,FALSE),VLOOKUP(G1185,[177]Sheet2!A:B,2,FALSE))</f>
        <v>600</v>
      </c>
      <c r="J1185" s="24" t="s">
        <v>20</v>
      </c>
      <c r="K1185" s="36"/>
    </row>
    <row r="1186" ht="31" customHeight="1" spans="1:11">
      <c r="A1186" s="19">
        <v>1182</v>
      </c>
      <c r="B1186" s="19" t="s">
        <v>1253</v>
      </c>
      <c r="C1186" s="19" t="s">
        <v>1290</v>
      </c>
      <c r="D1186" s="19" t="s">
        <v>1303</v>
      </c>
      <c r="E1186" s="31" t="s">
        <v>17</v>
      </c>
      <c r="F1186" s="19" t="s">
        <v>18</v>
      </c>
      <c r="G1186" s="19" t="s">
        <v>19</v>
      </c>
      <c r="H1186" s="31" t="s">
        <v>238</v>
      </c>
      <c r="I1186" s="19">
        <f>IF(F1186="是",VLOOKUP(G1186,[178]Sheet2!A:C,3,FALSE),VLOOKUP(G1186,[178]Sheet2!A:B,2,FALSE))</f>
        <v>600</v>
      </c>
      <c r="J1186" s="24" t="s">
        <v>20</v>
      </c>
      <c r="K1186" s="36"/>
    </row>
    <row r="1187" ht="31" customHeight="1" spans="1:11">
      <c r="A1187" s="19">
        <v>1183</v>
      </c>
      <c r="B1187" s="19" t="s">
        <v>1253</v>
      </c>
      <c r="C1187" s="20" t="s">
        <v>1290</v>
      </c>
      <c r="D1187" s="20" t="s">
        <v>1304</v>
      </c>
      <c r="E1187" s="31" t="s">
        <v>17</v>
      </c>
      <c r="F1187" s="19" t="s">
        <v>18</v>
      </c>
      <c r="G1187" s="19" t="s">
        <v>19</v>
      </c>
      <c r="H1187" s="31" t="s">
        <v>238</v>
      </c>
      <c r="I1187" s="19">
        <f>IF(F1187="是",VLOOKUP(G1187,[179]Sheet2!A:C,3,FALSE),VLOOKUP(G1187,[179]Sheet2!A:B,2,FALSE))</f>
        <v>600</v>
      </c>
      <c r="J1187" s="24" t="s">
        <v>20</v>
      </c>
      <c r="K1187" s="36"/>
    </row>
    <row r="1188" ht="31" customHeight="1" spans="1:11">
      <c r="A1188" s="19">
        <v>1184</v>
      </c>
      <c r="B1188" s="19" t="s">
        <v>1253</v>
      </c>
      <c r="C1188" s="19" t="s">
        <v>1290</v>
      </c>
      <c r="D1188" s="19" t="s">
        <v>1305</v>
      </c>
      <c r="E1188" s="31" t="s">
        <v>17</v>
      </c>
      <c r="F1188" s="19" t="s">
        <v>18</v>
      </c>
      <c r="G1188" s="19" t="s">
        <v>19</v>
      </c>
      <c r="H1188" s="31" t="s">
        <v>238</v>
      </c>
      <c r="I1188" s="19">
        <f>IF(F1188="是",VLOOKUP(G1188,[179]Sheet2!A:C,3,FALSE),VLOOKUP(G1188,[179]Sheet2!A:B,2,FALSE))</f>
        <v>600</v>
      </c>
      <c r="J1188" s="24" t="s">
        <v>20</v>
      </c>
      <c r="K1188" s="36"/>
    </row>
    <row r="1189" ht="31" customHeight="1" spans="1:11">
      <c r="A1189" s="19">
        <v>1185</v>
      </c>
      <c r="B1189" s="19" t="s">
        <v>1253</v>
      </c>
      <c r="C1189" s="19" t="s">
        <v>1290</v>
      </c>
      <c r="D1189" s="19" t="s">
        <v>1306</v>
      </c>
      <c r="E1189" s="31" t="s">
        <v>17</v>
      </c>
      <c r="F1189" s="19" t="s">
        <v>18</v>
      </c>
      <c r="G1189" s="19" t="s">
        <v>19</v>
      </c>
      <c r="H1189" s="23">
        <v>45292</v>
      </c>
      <c r="I1189" s="19">
        <f>IF(F1189="是",VLOOKUP(G1189,[180]Sheet2!A:C,3,FALSE),VLOOKUP(G1189,[180]Sheet2!A:B,2,FALSE))</f>
        <v>600</v>
      </c>
      <c r="J1189" s="24" t="s">
        <v>20</v>
      </c>
      <c r="K1189" s="19"/>
    </row>
    <row r="1190" ht="31" customHeight="1" spans="1:11">
      <c r="A1190" s="19">
        <v>1186</v>
      </c>
      <c r="B1190" s="19" t="s">
        <v>1253</v>
      </c>
      <c r="C1190" s="19" t="s">
        <v>1290</v>
      </c>
      <c r="D1190" s="19" t="s">
        <v>1307</v>
      </c>
      <c r="E1190" s="31" t="s">
        <v>17</v>
      </c>
      <c r="F1190" s="19" t="s">
        <v>18</v>
      </c>
      <c r="G1190" s="19" t="s">
        <v>19</v>
      </c>
      <c r="H1190" s="23">
        <v>45335</v>
      </c>
      <c r="I1190" s="19">
        <f>IF(F1190="是",VLOOKUP(G1190,[181]Sheet2!A:C,3,FALSE),VLOOKUP(G1190,[181]Sheet2!A:B,2,FALSE))</f>
        <v>600</v>
      </c>
      <c r="J1190" s="24" t="s">
        <v>20</v>
      </c>
      <c r="K1190" s="19"/>
    </row>
    <row r="1191" ht="31" customHeight="1" spans="1:11">
      <c r="A1191" s="19">
        <v>1187</v>
      </c>
      <c r="B1191" s="19" t="s">
        <v>1253</v>
      </c>
      <c r="C1191" s="19" t="s">
        <v>1290</v>
      </c>
      <c r="D1191" s="19" t="s">
        <v>1308</v>
      </c>
      <c r="E1191" s="31" t="s">
        <v>17</v>
      </c>
      <c r="F1191" s="19" t="s">
        <v>18</v>
      </c>
      <c r="G1191" s="19" t="s">
        <v>19</v>
      </c>
      <c r="H1191" s="23">
        <v>45335</v>
      </c>
      <c r="I1191" s="19">
        <f>IF(F1191="是",VLOOKUP(G1191,[181]Sheet2!A:C,3,FALSE),VLOOKUP(G1191,[181]Sheet2!A:B,2,FALSE))</f>
        <v>600</v>
      </c>
      <c r="J1191" s="24" t="s">
        <v>20</v>
      </c>
      <c r="K1191" s="19"/>
    </row>
    <row r="1192" ht="31" customHeight="1" spans="1:11">
      <c r="A1192" s="19">
        <v>1188</v>
      </c>
      <c r="B1192" s="19" t="s">
        <v>1253</v>
      </c>
      <c r="C1192" s="19" t="s">
        <v>1290</v>
      </c>
      <c r="D1192" s="19" t="s">
        <v>1309</v>
      </c>
      <c r="E1192" s="31" t="s">
        <v>17</v>
      </c>
      <c r="F1192" s="19" t="s">
        <v>18</v>
      </c>
      <c r="G1192" s="19" t="s">
        <v>19</v>
      </c>
      <c r="H1192" s="23">
        <v>45335</v>
      </c>
      <c r="I1192" s="19">
        <f>IF(F1192="是",VLOOKUP(G1192,[181]Sheet2!A:C,3,FALSE),VLOOKUP(G1192,[181]Sheet2!A:B,2,FALSE))</f>
        <v>600</v>
      </c>
      <c r="J1192" s="24" t="s">
        <v>20</v>
      </c>
      <c r="K1192" s="19"/>
    </row>
    <row r="1193" ht="31" customHeight="1" spans="1:11">
      <c r="A1193" s="19">
        <v>1189</v>
      </c>
      <c r="B1193" s="19" t="s">
        <v>1253</v>
      </c>
      <c r="C1193" s="19" t="s">
        <v>1290</v>
      </c>
      <c r="D1193" s="19" t="s">
        <v>1310</v>
      </c>
      <c r="E1193" s="31" t="s">
        <v>17</v>
      </c>
      <c r="F1193" s="19" t="s">
        <v>18</v>
      </c>
      <c r="G1193" s="19" t="s">
        <v>19</v>
      </c>
      <c r="H1193" s="23">
        <v>45341</v>
      </c>
      <c r="I1193" s="19">
        <f>IF(F1193="是",VLOOKUP(G1193,[181]Sheet2!A:C,3,FALSE),VLOOKUP(G1193,[181]Sheet2!A:B,2,FALSE))</f>
        <v>600</v>
      </c>
      <c r="J1193" s="24" t="s">
        <v>20</v>
      </c>
      <c r="K1193" s="19"/>
    </row>
    <row r="1194" ht="31" customHeight="1" spans="1:11">
      <c r="A1194" s="19">
        <v>1190</v>
      </c>
      <c r="B1194" s="19" t="s">
        <v>1253</v>
      </c>
      <c r="C1194" s="19" t="s">
        <v>1290</v>
      </c>
      <c r="D1194" s="19" t="s">
        <v>1311</v>
      </c>
      <c r="E1194" s="31" t="s">
        <v>17</v>
      </c>
      <c r="F1194" s="19" t="s">
        <v>18</v>
      </c>
      <c r="G1194" s="19" t="s">
        <v>19</v>
      </c>
      <c r="H1194" s="23">
        <v>45352</v>
      </c>
      <c r="I1194" s="19">
        <f>IF(F1194="是",VLOOKUP(G1194,[182]Sheet2!A:C,3,FALSE),VLOOKUP(G1194,[182]Sheet2!A:B,2,FALSE))</f>
        <v>600</v>
      </c>
      <c r="J1194" s="24" t="s">
        <v>20</v>
      </c>
      <c r="K1194" s="19"/>
    </row>
    <row r="1195" ht="31" customHeight="1" spans="1:11">
      <c r="A1195" s="19">
        <v>1191</v>
      </c>
      <c r="B1195" s="19" t="s">
        <v>1253</v>
      </c>
      <c r="C1195" s="19" t="s">
        <v>1290</v>
      </c>
      <c r="D1195" s="19" t="s">
        <v>1312</v>
      </c>
      <c r="E1195" s="31" t="s">
        <v>17</v>
      </c>
      <c r="F1195" s="19" t="s">
        <v>18</v>
      </c>
      <c r="G1195" s="19" t="s">
        <v>19</v>
      </c>
      <c r="H1195" s="23">
        <v>45474</v>
      </c>
      <c r="I1195" s="19">
        <f>IF(F1195="是",VLOOKUP(G1195,[183]Sheet2!A:C,3,FALSE),VLOOKUP(G1195,[183]Sheet2!A:B,2,FALSE))</f>
        <v>600</v>
      </c>
      <c r="J1195" s="24" t="s">
        <v>20</v>
      </c>
      <c r="K1195" s="19"/>
    </row>
    <row r="1196" ht="31" customHeight="1" spans="1:11">
      <c r="A1196" s="19">
        <v>1192</v>
      </c>
      <c r="B1196" s="19" t="s">
        <v>1253</v>
      </c>
      <c r="C1196" s="19" t="s">
        <v>1290</v>
      </c>
      <c r="D1196" s="19" t="s">
        <v>1313</v>
      </c>
      <c r="E1196" s="31" t="s">
        <v>17</v>
      </c>
      <c r="F1196" s="19" t="s">
        <v>18</v>
      </c>
      <c r="G1196" s="19" t="s">
        <v>19</v>
      </c>
      <c r="H1196" s="23">
        <v>45405.04</v>
      </c>
      <c r="I1196" s="19">
        <v>600</v>
      </c>
      <c r="J1196" s="24" t="s">
        <v>20</v>
      </c>
      <c r="K1196" s="19"/>
    </row>
    <row r="1197" ht="31" customHeight="1" spans="1:11">
      <c r="A1197" s="19">
        <v>1193</v>
      </c>
      <c r="B1197" s="19" t="s">
        <v>1253</v>
      </c>
      <c r="C1197" s="19" t="s">
        <v>1290</v>
      </c>
      <c r="D1197" s="19" t="s">
        <v>1314</v>
      </c>
      <c r="E1197" s="31" t="s">
        <v>17</v>
      </c>
      <c r="F1197" s="19" t="s">
        <v>18</v>
      </c>
      <c r="G1197" s="19" t="s">
        <v>19</v>
      </c>
      <c r="H1197" s="23">
        <v>45409.04</v>
      </c>
      <c r="I1197" s="19">
        <v>600</v>
      </c>
      <c r="J1197" s="24" t="s">
        <v>20</v>
      </c>
      <c r="K1197" s="19"/>
    </row>
    <row r="1198" ht="31" customHeight="1" spans="1:11">
      <c r="A1198" s="19">
        <v>1194</v>
      </c>
      <c r="B1198" s="19" t="s">
        <v>1253</v>
      </c>
      <c r="C1198" s="19" t="s">
        <v>1290</v>
      </c>
      <c r="D1198" s="19" t="s">
        <v>1315</v>
      </c>
      <c r="E1198" s="31" t="s">
        <v>17</v>
      </c>
      <c r="F1198" s="19" t="s">
        <v>18</v>
      </c>
      <c r="G1198" s="19" t="s">
        <v>19</v>
      </c>
      <c r="H1198" s="23">
        <v>45474.04</v>
      </c>
      <c r="I1198" s="19">
        <v>600</v>
      </c>
      <c r="J1198" s="24" t="s">
        <v>20</v>
      </c>
      <c r="K1198" s="19"/>
    </row>
    <row r="1199" ht="31" customHeight="1" spans="1:11">
      <c r="A1199" s="19">
        <v>1195</v>
      </c>
      <c r="B1199" s="19" t="s">
        <v>1253</v>
      </c>
      <c r="C1199" s="19" t="s">
        <v>1290</v>
      </c>
      <c r="D1199" s="19" t="s">
        <v>1316</v>
      </c>
      <c r="E1199" s="31" t="s">
        <v>17</v>
      </c>
      <c r="F1199" s="19" t="s">
        <v>18</v>
      </c>
      <c r="G1199" s="19" t="s">
        <v>19</v>
      </c>
      <c r="H1199" s="23">
        <v>45366</v>
      </c>
      <c r="I1199" s="19">
        <f>IF(F1199="是",VLOOKUP(G1199,[184]Sheet2!A:C,3,FALSE),VLOOKUP(G1199,[184]Sheet2!A:B,2,FALSE))</f>
        <v>600</v>
      </c>
      <c r="J1199" s="24" t="s">
        <v>20</v>
      </c>
      <c r="K1199" s="19"/>
    </row>
    <row r="1200" ht="31" customHeight="1" spans="1:11">
      <c r="A1200" s="19">
        <v>1196</v>
      </c>
      <c r="B1200" s="19" t="s">
        <v>1253</v>
      </c>
      <c r="C1200" s="19" t="s">
        <v>1290</v>
      </c>
      <c r="D1200" s="19" t="s">
        <v>1317</v>
      </c>
      <c r="E1200" s="31" t="s">
        <v>17</v>
      </c>
      <c r="F1200" s="19" t="s">
        <v>18</v>
      </c>
      <c r="G1200" s="19" t="s">
        <v>19</v>
      </c>
      <c r="H1200" s="23">
        <v>45323</v>
      </c>
      <c r="I1200" s="19">
        <f>IF(F1200="是",VLOOKUP(G1200,[185]Sheet2!A:C,3,FALSE),VLOOKUP(G1200,[185]Sheet2!A:B,2,FALSE))</f>
        <v>600</v>
      </c>
      <c r="J1200" s="24" t="s">
        <v>20</v>
      </c>
      <c r="K1200" s="19"/>
    </row>
    <row r="1201" ht="31" customHeight="1" spans="1:11">
      <c r="A1201" s="19">
        <v>1197</v>
      </c>
      <c r="B1201" s="19" t="s">
        <v>1253</v>
      </c>
      <c r="C1201" s="19" t="s">
        <v>1290</v>
      </c>
      <c r="D1201" s="19" t="s">
        <v>1318</v>
      </c>
      <c r="E1201" s="31" t="s">
        <v>17</v>
      </c>
      <c r="F1201" s="19" t="s">
        <v>18</v>
      </c>
      <c r="G1201" s="19" t="s">
        <v>19</v>
      </c>
      <c r="H1201" s="37">
        <v>45292</v>
      </c>
      <c r="I1201" s="19">
        <v>600</v>
      </c>
      <c r="J1201" s="24" t="s">
        <v>20</v>
      </c>
      <c r="K1201" s="19"/>
    </row>
    <row r="1202" ht="31" customHeight="1" spans="1:11">
      <c r="A1202" s="19">
        <v>1198</v>
      </c>
      <c r="B1202" s="19" t="s">
        <v>1253</v>
      </c>
      <c r="C1202" s="19" t="s">
        <v>1290</v>
      </c>
      <c r="D1202" s="19" t="s">
        <v>1319</v>
      </c>
      <c r="E1202" s="31" t="s">
        <v>17</v>
      </c>
      <c r="F1202" s="19" t="s">
        <v>18</v>
      </c>
      <c r="G1202" s="19" t="s">
        <v>19</v>
      </c>
      <c r="H1202" s="37">
        <v>45292</v>
      </c>
      <c r="I1202" s="19">
        <v>600</v>
      </c>
      <c r="J1202" s="24" t="s">
        <v>20</v>
      </c>
      <c r="K1202" s="19"/>
    </row>
    <row r="1203" ht="31" customHeight="1" spans="1:11">
      <c r="A1203" s="19">
        <v>1199</v>
      </c>
      <c r="B1203" s="19" t="s">
        <v>1253</v>
      </c>
      <c r="C1203" s="19" t="s">
        <v>1290</v>
      </c>
      <c r="D1203" s="19" t="s">
        <v>1320</v>
      </c>
      <c r="E1203" s="31" t="s">
        <v>17</v>
      </c>
      <c r="F1203" s="19" t="s">
        <v>18</v>
      </c>
      <c r="G1203" s="19" t="s">
        <v>19</v>
      </c>
      <c r="H1203" s="37">
        <v>45323</v>
      </c>
      <c r="I1203" s="19">
        <f>IF(F1203="是",VLOOKUP(G1203,[186]Sheet2!A:C,3,FALSE),VLOOKUP(G1203,[186]Sheet2!A:B,2,FALSE))</f>
        <v>600</v>
      </c>
      <c r="J1203" s="24" t="s">
        <v>20</v>
      </c>
      <c r="K1203" s="19"/>
    </row>
    <row r="1204" ht="31" customHeight="1" spans="1:11">
      <c r="A1204" s="19">
        <v>1200</v>
      </c>
      <c r="B1204" s="19" t="s">
        <v>1253</v>
      </c>
      <c r="C1204" s="19" t="s">
        <v>1290</v>
      </c>
      <c r="D1204" s="19" t="s">
        <v>1321</v>
      </c>
      <c r="E1204" s="31" t="s">
        <v>17</v>
      </c>
      <c r="F1204" s="19" t="s">
        <v>18</v>
      </c>
      <c r="G1204" s="19" t="s">
        <v>19</v>
      </c>
      <c r="H1204" s="37">
        <v>45388</v>
      </c>
      <c r="I1204" s="19">
        <f>IF(F1204="是",VLOOKUP(G1204,[187]Sheet2!A:C,3,FALSE),VLOOKUP(G1204,[187]Sheet2!A:B,2,FALSE))</f>
        <v>600</v>
      </c>
      <c r="J1204" s="24" t="s">
        <v>20</v>
      </c>
      <c r="K1204" s="19"/>
    </row>
    <row r="1205" ht="31" customHeight="1" spans="1:11">
      <c r="A1205" s="19">
        <v>1201</v>
      </c>
      <c r="B1205" s="19" t="s">
        <v>1253</v>
      </c>
      <c r="C1205" s="19" t="s">
        <v>1290</v>
      </c>
      <c r="D1205" s="19" t="s">
        <v>1322</v>
      </c>
      <c r="E1205" s="31" t="s">
        <v>17</v>
      </c>
      <c r="F1205" s="19" t="s">
        <v>18</v>
      </c>
      <c r="G1205" s="19" t="s">
        <v>29</v>
      </c>
      <c r="H1205" s="37">
        <v>45323</v>
      </c>
      <c r="I1205" s="19">
        <f>IF(F1205="是",VLOOKUP(G1205,[188]Sheet2!A:C,3,FALSE),VLOOKUP(G1205,[188]Sheet2!A:B,2,FALSE))</f>
        <v>800</v>
      </c>
      <c r="J1205" s="24" t="s">
        <v>20</v>
      </c>
      <c r="K1205" s="19"/>
    </row>
    <row r="1206" ht="31" customHeight="1" spans="1:11">
      <c r="A1206" s="19">
        <v>1202</v>
      </c>
      <c r="B1206" s="19" t="s">
        <v>1253</v>
      </c>
      <c r="C1206" s="19" t="s">
        <v>1290</v>
      </c>
      <c r="D1206" s="19" t="s">
        <v>1323</v>
      </c>
      <c r="E1206" s="31" t="s">
        <v>17</v>
      </c>
      <c r="F1206" s="19" t="s">
        <v>18</v>
      </c>
      <c r="G1206" s="19" t="s">
        <v>29</v>
      </c>
      <c r="H1206" s="37">
        <v>45323</v>
      </c>
      <c r="I1206" s="19">
        <f>IF(F1206="是",VLOOKUP(G1206,[188]Sheet2!A:C,3,FALSE),VLOOKUP(G1206,[188]Sheet2!A:B,2,FALSE))</f>
        <v>800</v>
      </c>
      <c r="J1206" s="24" t="s">
        <v>20</v>
      </c>
      <c r="K1206" s="19"/>
    </row>
    <row r="1207" ht="31" customHeight="1" spans="1:11">
      <c r="A1207" s="19">
        <v>1203</v>
      </c>
      <c r="B1207" s="19" t="s">
        <v>1253</v>
      </c>
      <c r="C1207" s="20" t="s">
        <v>1290</v>
      </c>
      <c r="D1207" s="55" t="s">
        <v>1324</v>
      </c>
      <c r="E1207" s="31" t="s">
        <v>17</v>
      </c>
      <c r="F1207" s="20" t="s">
        <v>18</v>
      </c>
      <c r="G1207" s="20" t="s">
        <v>19</v>
      </c>
      <c r="H1207" s="23">
        <v>45292</v>
      </c>
      <c r="I1207" s="19">
        <f>IF(F1207="是",VLOOKUP(G1207,[189]Sheet2!A:C,3,FALSE),VLOOKUP(G1207,[189]Sheet2!A:B,2,FALSE))</f>
        <v>600</v>
      </c>
      <c r="J1207" s="24" t="s">
        <v>20</v>
      </c>
      <c r="K1207" s="19"/>
    </row>
    <row r="1208" ht="31" customHeight="1" spans="1:11">
      <c r="A1208" s="19">
        <v>1204</v>
      </c>
      <c r="B1208" s="19" t="s">
        <v>1253</v>
      </c>
      <c r="C1208" s="19" t="s">
        <v>1290</v>
      </c>
      <c r="D1208" s="19" t="s">
        <v>1325</v>
      </c>
      <c r="E1208" s="31" t="s">
        <v>17</v>
      </c>
      <c r="F1208" s="19" t="s">
        <v>18</v>
      </c>
      <c r="G1208" s="19" t="s">
        <v>19</v>
      </c>
      <c r="H1208" s="37">
        <v>45292</v>
      </c>
      <c r="I1208" s="19">
        <v>600</v>
      </c>
      <c r="J1208" s="24" t="s">
        <v>20</v>
      </c>
      <c r="K1208" s="19"/>
    </row>
    <row r="1209" ht="31" customHeight="1" spans="1:11">
      <c r="A1209" s="19">
        <v>1205</v>
      </c>
      <c r="B1209" s="19" t="s">
        <v>1253</v>
      </c>
      <c r="C1209" s="19" t="s">
        <v>1290</v>
      </c>
      <c r="D1209" s="19" t="s">
        <v>1326</v>
      </c>
      <c r="E1209" s="31" t="s">
        <v>17</v>
      </c>
      <c r="F1209" s="19" t="s">
        <v>18</v>
      </c>
      <c r="G1209" s="19" t="s">
        <v>29</v>
      </c>
      <c r="H1209" s="37">
        <v>45292</v>
      </c>
      <c r="I1209" s="19">
        <v>800</v>
      </c>
      <c r="J1209" s="24" t="s">
        <v>20</v>
      </c>
      <c r="K1209" s="19"/>
    </row>
    <row r="1210" ht="31" customHeight="1" spans="1:11">
      <c r="A1210" s="19">
        <v>1206</v>
      </c>
      <c r="B1210" s="19" t="s">
        <v>1253</v>
      </c>
      <c r="C1210" s="19" t="s">
        <v>1290</v>
      </c>
      <c r="D1210" s="19" t="s">
        <v>1327</v>
      </c>
      <c r="E1210" s="31" t="s">
        <v>17</v>
      </c>
      <c r="F1210" s="19" t="s">
        <v>18</v>
      </c>
      <c r="G1210" s="19" t="s">
        <v>678</v>
      </c>
      <c r="H1210" s="37">
        <v>45292</v>
      </c>
      <c r="I1210" s="19">
        <v>800</v>
      </c>
      <c r="J1210" s="24" t="s">
        <v>20</v>
      </c>
      <c r="K1210" s="19"/>
    </row>
    <row r="1211" ht="31" customHeight="1" spans="1:11">
      <c r="A1211" s="19">
        <v>1207</v>
      </c>
      <c r="B1211" s="19" t="s">
        <v>1253</v>
      </c>
      <c r="C1211" s="19" t="s">
        <v>1290</v>
      </c>
      <c r="D1211" s="19" t="s">
        <v>1328</v>
      </c>
      <c r="E1211" s="31" t="s">
        <v>17</v>
      </c>
      <c r="F1211" s="19" t="s">
        <v>18</v>
      </c>
      <c r="G1211" s="19" t="s">
        <v>98</v>
      </c>
      <c r="H1211" s="37">
        <v>45292</v>
      </c>
      <c r="I1211" s="19">
        <v>800</v>
      </c>
      <c r="J1211" s="24" t="s">
        <v>20</v>
      </c>
      <c r="K1211" s="19"/>
    </row>
    <row r="1212" ht="31" customHeight="1" spans="1:11">
      <c r="A1212" s="19">
        <v>1208</v>
      </c>
      <c r="B1212" s="19" t="s">
        <v>1253</v>
      </c>
      <c r="C1212" s="19" t="s">
        <v>1290</v>
      </c>
      <c r="D1212" s="19" t="s">
        <v>1329</v>
      </c>
      <c r="E1212" s="31" t="s">
        <v>17</v>
      </c>
      <c r="F1212" s="19" t="s">
        <v>18</v>
      </c>
      <c r="G1212" s="19" t="s">
        <v>98</v>
      </c>
      <c r="H1212" s="37">
        <v>45292</v>
      </c>
      <c r="I1212" s="19">
        <v>800</v>
      </c>
      <c r="J1212" s="24" t="s">
        <v>20</v>
      </c>
      <c r="K1212" s="19"/>
    </row>
    <row r="1213" ht="31" customHeight="1" spans="1:11">
      <c r="A1213" s="19">
        <v>1209</v>
      </c>
      <c r="B1213" s="19" t="s">
        <v>1253</v>
      </c>
      <c r="C1213" s="47" t="s">
        <v>1290</v>
      </c>
      <c r="D1213" s="47" t="s">
        <v>1330</v>
      </c>
      <c r="E1213" s="31" t="s">
        <v>17</v>
      </c>
      <c r="F1213" s="47" t="s">
        <v>18</v>
      </c>
      <c r="G1213" s="47" t="s">
        <v>19</v>
      </c>
      <c r="H1213" s="23">
        <v>45323</v>
      </c>
      <c r="I1213" s="19">
        <f>IF(F1213="是",VLOOKUP(G1213,[190]Sheet2!A:C,3,FALSE),VLOOKUP(G1213,[190]Sheet2!A:B,2,FALSE))</f>
        <v>600</v>
      </c>
      <c r="J1213" s="24" t="s">
        <v>20</v>
      </c>
      <c r="K1213" s="19"/>
    </row>
    <row r="1214" ht="31" customHeight="1" spans="1:11">
      <c r="A1214" s="19">
        <v>1210</v>
      </c>
      <c r="B1214" s="19" t="s">
        <v>1253</v>
      </c>
      <c r="C1214" s="19" t="s">
        <v>1290</v>
      </c>
      <c r="D1214" s="19" t="s">
        <v>1331</v>
      </c>
      <c r="E1214" s="31" t="s">
        <v>17</v>
      </c>
      <c r="F1214" s="19" t="s">
        <v>18</v>
      </c>
      <c r="G1214" s="19" t="s">
        <v>19</v>
      </c>
      <c r="H1214" s="23">
        <v>45352</v>
      </c>
      <c r="I1214" s="19">
        <f>IF(F1214="是",VLOOKUP(G1214,[191]Sheet2!A:C,3,FALSE),VLOOKUP(G1214,[191]Sheet2!A:B,2,FALSE))</f>
        <v>600</v>
      </c>
      <c r="J1214" s="24" t="s">
        <v>20</v>
      </c>
      <c r="K1214" s="19"/>
    </row>
    <row r="1215" ht="31" customHeight="1" spans="1:11">
      <c r="A1215" s="19">
        <v>1211</v>
      </c>
      <c r="B1215" s="19" t="s">
        <v>1253</v>
      </c>
      <c r="C1215" s="19" t="s">
        <v>1290</v>
      </c>
      <c r="D1215" s="19" t="s">
        <v>1332</v>
      </c>
      <c r="E1215" s="31" t="s">
        <v>17</v>
      </c>
      <c r="F1215" s="19" t="s">
        <v>18</v>
      </c>
      <c r="G1215" s="19" t="s">
        <v>19</v>
      </c>
      <c r="H1215" s="23">
        <v>45323</v>
      </c>
      <c r="I1215" s="19">
        <f>IF(F1215="是",VLOOKUP(G1215,[193]Sheet2!A:C,3,FALSE),VLOOKUP(G1215,[193]Sheet2!A:B,2,FALSE))</f>
        <v>600</v>
      </c>
      <c r="J1215" s="24" t="s">
        <v>20</v>
      </c>
      <c r="K1215" s="19"/>
    </row>
    <row r="1216" ht="31" customHeight="1" spans="1:11">
      <c r="A1216" s="19">
        <v>1212</v>
      </c>
      <c r="B1216" s="19" t="s">
        <v>1253</v>
      </c>
      <c r="C1216" s="19" t="s">
        <v>1290</v>
      </c>
      <c r="D1216" s="19" t="s">
        <v>1333</v>
      </c>
      <c r="E1216" s="31" t="s">
        <v>17</v>
      </c>
      <c r="F1216" s="19" t="s">
        <v>18</v>
      </c>
      <c r="G1216" s="19" t="s">
        <v>19</v>
      </c>
      <c r="H1216" s="23">
        <v>45323</v>
      </c>
      <c r="I1216" s="19">
        <f>IF(F1216="是",VLOOKUP(G1216,[193]Sheet2!A:C,3,FALSE),VLOOKUP(G1216,[193]Sheet2!A:B,2,FALSE))</f>
        <v>600</v>
      </c>
      <c r="J1216" s="24" t="s">
        <v>20</v>
      </c>
      <c r="K1216" s="19"/>
    </row>
    <row r="1217" ht="31" customHeight="1" spans="1:11">
      <c r="A1217" s="19">
        <v>1213</v>
      </c>
      <c r="B1217" s="19" t="s">
        <v>1253</v>
      </c>
      <c r="C1217" s="19" t="s">
        <v>1290</v>
      </c>
      <c r="D1217" s="19" t="s">
        <v>1334</v>
      </c>
      <c r="E1217" s="31" t="s">
        <v>17</v>
      </c>
      <c r="F1217" s="19" t="s">
        <v>18</v>
      </c>
      <c r="G1217" s="19" t="s">
        <v>19</v>
      </c>
      <c r="H1217" s="23">
        <v>45323</v>
      </c>
      <c r="I1217" s="19">
        <f>IF(F1217="是",VLOOKUP(G1217,[192]Sheet2!A:C,3,FALSE),VLOOKUP(G1217,[192]Sheet2!A:B,2,FALSE))</f>
        <v>600</v>
      </c>
      <c r="J1217" s="24" t="s">
        <v>20</v>
      </c>
      <c r="K1217" s="19"/>
    </row>
    <row r="1218" ht="31" customHeight="1" spans="1:11">
      <c r="A1218" s="19">
        <v>1214</v>
      </c>
      <c r="B1218" s="19" t="s">
        <v>1253</v>
      </c>
      <c r="C1218" s="19" t="s">
        <v>1290</v>
      </c>
      <c r="D1218" s="19" t="s">
        <v>1335</v>
      </c>
      <c r="E1218" s="31" t="s">
        <v>17</v>
      </c>
      <c r="F1218" s="19" t="s">
        <v>18</v>
      </c>
      <c r="G1218" s="19" t="s">
        <v>19</v>
      </c>
      <c r="H1218" s="23">
        <v>45371</v>
      </c>
      <c r="I1218" s="19">
        <f>IF(F1218="是",VLOOKUP(G1218,[194]Sheet2!A:C,3,FALSE),VLOOKUP(G1218,[194]Sheet2!A:B,2,FALSE))</f>
        <v>600</v>
      </c>
      <c r="J1218" s="24" t="s">
        <v>20</v>
      </c>
      <c r="K1218" s="19"/>
    </row>
    <row r="1219" ht="31" customHeight="1" spans="1:11">
      <c r="A1219" s="19">
        <v>1215</v>
      </c>
      <c r="B1219" s="19" t="s">
        <v>1253</v>
      </c>
      <c r="C1219" s="19" t="s">
        <v>1290</v>
      </c>
      <c r="D1219" s="19" t="s">
        <v>1336</v>
      </c>
      <c r="E1219" s="31" t="s">
        <v>17</v>
      </c>
      <c r="F1219" s="19" t="s">
        <v>18</v>
      </c>
      <c r="G1219" s="19" t="s">
        <v>19</v>
      </c>
      <c r="H1219" s="23">
        <v>45394</v>
      </c>
      <c r="I1219" s="19">
        <f>IF(F1219="是",VLOOKUP(G1219,[194]Sheet2!A:C,3,FALSE),VLOOKUP(G1219,[194]Sheet2!A:B,2,FALSE))</f>
        <v>600</v>
      </c>
      <c r="J1219" s="24" t="s">
        <v>20</v>
      </c>
      <c r="K1219" s="19"/>
    </row>
    <row r="1220" ht="31" customHeight="1" spans="1:11">
      <c r="A1220" s="19">
        <v>1216</v>
      </c>
      <c r="B1220" s="20" t="s">
        <v>1253</v>
      </c>
      <c r="C1220" s="20" t="s">
        <v>1290</v>
      </c>
      <c r="D1220" s="20" t="s">
        <v>1337</v>
      </c>
      <c r="E1220" s="31" t="s">
        <v>17</v>
      </c>
      <c r="F1220" s="19" t="s">
        <v>18</v>
      </c>
      <c r="G1220" s="19" t="s">
        <v>29</v>
      </c>
      <c r="H1220" s="44">
        <v>45323</v>
      </c>
      <c r="I1220" s="19">
        <f>IF(F1220="是",VLOOKUP(G1220,[255]Sheet2!A:C,3,FALSE),VLOOKUP(G1220,[255]Sheet2!A:B,2,FALSE))</f>
        <v>800</v>
      </c>
      <c r="J1220" s="24" t="s">
        <v>20</v>
      </c>
      <c r="K1220" s="19"/>
    </row>
    <row r="1221" ht="31" customHeight="1" spans="1:11">
      <c r="A1221" s="19">
        <v>1217</v>
      </c>
      <c r="B1221" s="19" t="s">
        <v>1253</v>
      </c>
      <c r="C1221" s="19" t="s">
        <v>1290</v>
      </c>
      <c r="D1221" s="19" t="s">
        <v>1338</v>
      </c>
      <c r="E1221" s="31" t="s">
        <v>17</v>
      </c>
      <c r="F1221" s="19" t="s">
        <v>18</v>
      </c>
      <c r="G1221" s="19" t="s">
        <v>29</v>
      </c>
      <c r="H1221" s="44">
        <v>45323</v>
      </c>
      <c r="I1221" s="19">
        <f>IF(F1221="是",VLOOKUP(G1221,[255]Sheet2!A:C,3,FALSE),VLOOKUP(G1221,[255]Sheet2!A:B,2,FALSE))</f>
        <v>800</v>
      </c>
      <c r="J1221" s="24" t="s">
        <v>20</v>
      </c>
      <c r="K1221" s="19"/>
    </row>
    <row r="1222" ht="31" customHeight="1" spans="1:11">
      <c r="A1222" s="19">
        <v>1218</v>
      </c>
      <c r="B1222" s="47" t="s">
        <v>1253</v>
      </c>
      <c r="C1222" s="47" t="s">
        <v>1290</v>
      </c>
      <c r="D1222" s="47" t="s">
        <v>1339</v>
      </c>
      <c r="E1222" s="31" t="s">
        <v>17</v>
      </c>
      <c r="F1222" s="47" t="s">
        <v>18</v>
      </c>
      <c r="G1222" s="47" t="s">
        <v>19</v>
      </c>
      <c r="H1222" s="57">
        <v>45340</v>
      </c>
      <c r="I1222" s="19">
        <f>IF(F1222="是",VLOOKUP(G1222,[256]Sheet2!A:C,3,FALSE),VLOOKUP(G1222,[256]Sheet2!A:B,2,FALSE))</f>
        <v>600</v>
      </c>
      <c r="J1222" s="24" t="s">
        <v>20</v>
      </c>
      <c r="K1222" s="19"/>
    </row>
    <row r="1223" ht="31" customHeight="1" spans="1:11">
      <c r="A1223" s="19">
        <v>1219</v>
      </c>
      <c r="B1223" s="47" t="s">
        <v>1253</v>
      </c>
      <c r="C1223" s="47" t="s">
        <v>1290</v>
      </c>
      <c r="D1223" s="47" t="s">
        <v>1340</v>
      </c>
      <c r="E1223" s="31" t="s">
        <v>17</v>
      </c>
      <c r="F1223" s="47" t="s">
        <v>18</v>
      </c>
      <c r="G1223" s="47" t="s">
        <v>19</v>
      </c>
      <c r="H1223" s="57">
        <v>45340</v>
      </c>
      <c r="I1223" s="19">
        <f>IF(F1223="是",VLOOKUP(G1223,[257]Sheet2!A:C,3,FALSE),VLOOKUP(G1223,[257]Sheet2!A:B,2,FALSE))</f>
        <v>600</v>
      </c>
      <c r="J1223" s="24" t="s">
        <v>20</v>
      </c>
      <c r="K1223" s="19"/>
    </row>
    <row r="1224" ht="31" customHeight="1" spans="1:11">
      <c r="A1224" s="19">
        <v>1220</v>
      </c>
      <c r="B1224" s="19" t="s">
        <v>1253</v>
      </c>
      <c r="C1224" s="19" t="s">
        <v>1290</v>
      </c>
      <c r="D1224" s="19" t="s">
        <v>1341</v>
      </c>
      <c r="E1224" s="31" t="s">
        <v>17</v>
      </c>
      <c r="F1224" s="19" t="s">
        <v>18</v>
      </c>
      <c r="G1224" s="19" t="s">
        <v>19</v>
      </c>
      <c r="H1224" s="44">
        <v>45338</v>
      </c>
      <c r="I1224" s="19">
        <f>IF(F1224="是",VLOOKUP(G1224,[258]Sheet2!A:C,3,FALSE),VLOOKUP(G1224,[258]Sheet2!A:B,2,FALSE))</f>
        <v>600</v>
      </c>
      <c r="J1224" s="24" t="s">
        <v>20</v>
      </c>
      <c r="K1224" s="19"/>
    </row>
    <row r="1225" ht="31" customHeight="1" spans="1:11">
      <c r="A1225" s="19">
        <v>1221</v>
      </c>
      <c r="B1225" s="19" t="s">
        <v>1253</v>
      </c>
      <c r="C1225" s="19" t="s">
        <v>1290</v>
      </c>
      <c r="D1225" s="19" t="s">
        <v>1342</v>
      </c>
      <c r="E1225" s="31" t="s">
        <v>17</v>
      </c>
      <c r="F1225" s="19" t="s">
        <v>18</v>
      </c>
      <c r="G1225" s="19" t="s">
        <v>19</v>
      </c>
      <c r="H1225" s="44">
        <v>45338</v>
      </c>
      <c r="I1225" s="19">
        <v>600</v>
      </c>
      <c r="J1225" s="24" t="s">
        <v>20</v>
      </c>
      <c r="K1225" s="19"/>
    </row>
    <row r="1226" ht="31" customHeight="1" spans="1:11">
      <c r="A1226" s="19">
        <v>1222</v>
      </c>
      <c r="B1226" s="19" t="s">
        <v>1253</v>
      </c>
      <c r="C1226" s="19" t="s">
        <v>1290</v>
      </c>
      <c r="D1226" s="19" t="s">
        <v>1343</v>
      </c>
      <c r="E1226" s="31" t="s">
        <v>17</v>
      </c>
      <c r="F1226" s="19" t="s">
        <v>18</v>
      </c>
      <c r="G1226" s="19" t="s">
        <v>19</v>
      </c>
      <c r="H1226" s="44">
        <v>45456</v>
      </c>
      <c r="I1226" s="19">
        <f>IF(F1226="是",VLOOKUP(G1226,[259]Sheet2!A:C,3,FALSE),VLOOKUP(G1226,[259]Sheet2!A:B,2,FALSE))</f>
        <v>600</v>
      </c>
      <c r="J1226" s="24" t="s">
        <v>20</v>
      </c>
      <c r="K1226" s="19"/>
    </row>
    <row r="1227" ht="31" customHeight="1" spans="1:11">
      <c r="A1227" s="19">
        <v>1223</v>
      </c>
      <c r="B1227" s="19" t="s">
        <v>1253</v>
      </c>
      <c r="C1227" s="19" t="s">
        <v>1290</v>
      </c>
      <c r="D1227" s="19" t="s">
        <v>1344</v>
      </c>
      <c r="E1227" s="31" t="s">
        <v>17</v>
      </c>
      <c r="F1227" s="19" t="s">
        <v>18</v>
      </c>
      <c r="G1227" s="19" t="s">
        <v>19</v>
      </c>
      <c r="H1227" s="31" t="s">
        <v>491</v>
      </c>
      <c r="I1227" s="19">
        <v>600</v>
      </c>
      <c r="J1227" s="24" t="s">
        <v>20</v>
      </c>
      <c r="K1227" s="19"/>
    </row>
    <row r="1228" ht="31" customHeight="1" spans="1:11">
      <c r="A1228" s="19">
        <v>1224</v>
      </c>
      <c r="B1228" s="19" t="s">
        <v>1253</v>
      </c>
      <c r="C1228" s="19" t="s">
        <v>1290</v>
      </c>
      <c r="D1228" s="19" t="s">
        <v>1345</v>
      </c>
      <c r="E1228" s="31" t="s">
        <v>781</v>
      </c>
      <c r="F1228" s="19" t="s">
        <v>18</v>
      </c>
      <c r="G1228" s="19" t="s">
        <v>19</v>
      </c>
      <c r="H1228" s="44">
        <v>45323</v>
      </c>
      <c r="I1228" s="19">
        <f>IF(F1228="是",VLOOKUP(G1228,[260]Sheet2!A:C,3,FALSE),VLOOKUP(G1228,[260]Sheet2!A:B,2,FALSE))</f>
        <v>600</v>
      </c>
      <c r="J1228" s="24" t="s">
        <v>20</v>
      </c>
      <c r="K1228" s="19"/>
    </row>
    <row r="1229" ht="31" customHeight="1" spans="1:11">
      <c r="A1229" s="19">
        <v>1225</v>
      </c>
      <c r="B1229" s="19" t="s">
        <v>1253</v>
      </c>
      <c r="C1229" s="19" t="s">
        <v>1290</v>
      </c>
      <c r="D1229" s="19" t="s">
        <v>1346</v>
      </c>
      <c r="E1229" s="31" t="s">
        <v>17</v>
      </c>
      <c r="F1229" s="19" t="s">
        <v>18</v>
      </c>
      <c r="G1229" s="19" t="s">
        <v>19</v>
      </c>
      <c r="H1229" s="23">
        <v>45413</v>
      </c>
      <c r="I1229" s="19">
        <f>IF(F1229="是",VLOOKUP(G1229,[194]Sheet2!A:C,3,FALSE),VLOOKUP(G1229,[194]Sheet2!A:B,2,FALSE))</f>
        <v>600</v>
      </c>
      <c r="J1229" s="24" t="s">
        <v>20</v>
      </c>
      <c r="K1229" s="19"/>
    </row>
    <row r="1230" ht="31" customHeight="1" spans="1:11">
      <c r="A1230" s="19">
        <v>1226</v>
      </c>
      <c r="B1230" s="20" t="s">
        <v>1253</v>
      </c>
      <c r="C1230" s="20" t="s">
        <v>1290</v>
      </c>
      <c r="D1230" s="20" t="s">
        <v>1347</v>
      </c>
      <c r="E1230" s="21" t="s">
        <v>17</v>
      </c>
      <c r="F1230" s="20" t="s">
        <v>18</v>
      </c>
      <c r="G1230" s="20" t="s">
        <v>19</v>
      </c>
      <c r="H1230" s="50">
        <v>45474</v>
      </c>
      <c r="I1230" s="19">
        <f>IF(F1230="是",VLOOKUP(G1230,[276]Sheet2!A:C,3,FALSE),VLOOKUP(G1230,[276]Sheet2!A:B,2,FALSE))</f>
        <v>600</v>
      </c>
      <c r="J1230" s="24" t="s">
        <v>20</v>
      </c>
      <c r="K1230" s="19"/>
    </row>
    <row r="1231" ht="31" customHeight="1" spans="1:11">
      <c r="A1231" s="19">
        <v>1227</v>
      </c>
      <c r="B1231" s="20" t="s">
        <v>1253</v>
      </c>
      <c r="C1231" s="20" t="s">
        <v>1290</v>
      </c>
      <c r="D1231" s="20" t="s">
        <v>1348</v>
      </c>
      <c r="E1231" s="21" t="s">
        <v>17</v>
      </c>
      <c r="F1231" s="20" t="s">
        <v>18</v>
      </c>
      <c r="G1231" s="20" t="s">
        <v>19</v>
      </c>
      <c r="H1231" s="50">
        <v>45389</v>
      </c>
      <c r="I1231" s="19">
        <f>IF(F1231="是",VLOOKUP(G1231,[275]Sheet2!A:C,3,FALSE),VLOOKUP(G1231,[275]Sheet2!A:B,2,FALSE))</f>
        <v>600</v>
      </c>
      <c r="J1231" s="24" t="s">
        <v>20</v>
      </c>
      <c r="K1231" s="19"/>
    </row>
    <row r="1232" ht="31" customHeight="1" spans="1:11">
      <c r="A1232" s="19">
        <v>1228</v>
      </c>
      <c r="B1232" s="19" t="s">
        <v>1253</v>
      </c>
      <c r="C1232" s="51" t="s">
        <v>1349</v>
      </c>
      <c r="D1232" s="19" t="s">
        <v>1350</v>
      </c>
      <c r="E1232" s="31" t="s">
        <v>17</v>
      </c>
      <c r="F1232" s="19" t="s">
        <v>18</v>
      </c>
      <c r="G1232" s="19" t="s">
        <v>19</v>
      </c>
      <c r="H1232" s="23">
        <v>45323</v>
      </c>
      <c r="I1232" s="19">
        <v>600</v>
      </c>
      <c r="J1232" s="24" t="s">
        <v>20</v>
      </c>
      <c r="K1232" s="19"/>
    </row>
    <row r="1233" ht="31" customHeight="1" spans="1:11">
      <c r="A1233" s="19">
        <v>1229</v>
      </c>
      <c r="B1233" s="19" t="s">
        <v>1253</v>
      </c>
      <c r="C1233" s="47" t="s">
        <v>1349</v>
      </c>
      <c r="D1233" s="19" t="s">
        <v>1351</v>
      </c>
      <c r="E1233" s="31" t="s">
        <v>17</v>
      </c>
      <c r="F1233" s="19" t="s">
        <v>18</v>
      </c>
      <c r="G1233" s="19" t="s">
        <v>19</v>
      </c>
      <c r="H1233" s="23">
        <v>45323</v>
      </c>
      <c r="I1233" s="19">
        <v>600</v>
      </c>
      <c r="J1233" s="24" t="s">
        <v>20</v>
      </c>
      <c r="K1233" s="19"/>
    </row>
    <row r="1234" ht="31" customHeight="1" spans="1:11">
      <c r="A1234" s="19">
        <v>1230</v>
      </c>
      <c r="B1234" s="19" t="s">
        <v>1253</v>
      </c>
      <c r="C1234" s="47" t="s">
        <v>1349</v>
      </c>
      <c r="D1234" s="19" t="s">
        <v>1352</v>
      </c>
      <c r="E1234" s="31" t="s">
        <v>17</v>
      </c>
      <c r="F1234" s="19" t="s">
        <v>18</v>
      </c>
      <c r="G1234" s="19" t="s">
        <v>19</v>
      </c>
      <c r="H1234" s="23">
        <v>45323</v>
      </c>
      <c r="I1234" s="19">
        <v>600</v>
      </c>
      <c r="J1234" s="24" t="s">
        <v>20</v>
      </c>
      <c r="K1234" s="19"/>
    </row>
    <row r="1235" ht="31" customHeight="1" spans="1:11">
      <c r="A1235" s="19">
        <v>1231</v>
      </c>
      <c r="B1235" s="19" t="s">
        <v>1253</v>
      </c>
      <c r="C1235" s="47" t="s">
        <v>1349</v>
      </c>
      <c r="D1235" s="19" t="s">
        <v>1353</v>
      </c>
      <c r="E1235" s="31" t="s">
        <v>17</v>
      </c>
      <c r="F1235" s="19" t="s">
        <v>18</v>
      </c>
      <c r="G1235" s="19" t="s">
        <v>19</v>
      </c>
      <c r="H1235" s="23">
        <v>45323</v>
      </c>
      <c r="I1235" s="19">
        <v>600</v>
      </c>
      <c r="J1235" s="24" t="s">
        <v>20</v>
      </c>
      <c r="K1235" s="19"/>
    </row>
    <row r="1236" ht="31" customHeight="1" spans="1:11">
      <c r="A1236" s="19">
        <v>1232</v>
      </c>
      <c r="B1236" s="19" t="s">
        <v>1253</v>
      </c>
      <c r="C1236" s="47" t="s">
        <v>1349</v>
      </c>
      <c r="D1236" s="19" t="s">
        <v>1354</v>
      </c>
      <c r="E1236" s="31" t="s">
        <v>17</v>
      </c>
      <c r="F1236" s="19" t="s">
        <v>18</v>
      </c>
      <c r="G1236" s="19" t="s">
        <v>19</v>
      </c>
      <c r="H1236" s="23">
        <v>45323</v>
      </c>
      <c r="I1236" s="19">
        <v>600</v>
      </c>
      <c r="J1236" s="24" t="s">
        <v>20</v>
      </c>
      <c r="K1236" s="19"/>
    </row>
    <row r="1237" ht="31" customHeight="1" spans="1:11">
      <c r="A1237" s="19">
        <v>1233</v>
      </c>
      <c r="B1237" s="19" t="s">
        <v>1253</v>
      </c>
      <c r="C1237" s="47" t="s">
        <v>1349</v>
      </c>
      <c r="D1237" s="19" t="s">
        <v>1355</v>
      </c>
      <c r="E1237" s="31" t="s">
        <v>17</v>
      </c>
      <c r="F1237" s="19" t="s">
        <v>18</v>
      </c>
      <c r="G1237" s="19" t="s">
        <v>19</v>
      </c>
      <c r="H1237" s="37">
        <v>45292</v>
      </c>
      <c r="I1237" s="19">
        <v>600</v>
      </c>
      <c r="J1237" s="24" t="s">
        <v>20</v>
      </c>
      <c r="K1237" s="19"/>
    </row>
    <row r="1238" ht="31" customHeight="1" spans="1:11">
      <c r="A1238" s="19">
        <v>1234</v>
      </c>
      <c r="B1238" s="19" t="s">
        <v>1253</v>
      </c>
      <c r="C1238" s="47" t="s">
        <v>1349</v>
      </c>
      <c r="D1238" s="19" t="s">
        <v>1356</v>
      </c>
      <c r="E1238" s="31" t="s">
        <v>17</v>
      </c>
      <c r="F1238" s="19" t="s">
        <v>18</v>
      </c>
      <c r="G1238" s="19" t="s">
        <v>55</v>
      </c>
      <c r="H1238" s="23">
        <v>45323</v>
      </c>
      <c r="I1238" s="19">
        <v>800</v>
      </c>
      <c r="J1238" s="24" t="s">
        <v>20</v>
      </c>
      <c r="K1238" s="19"/>
    </row>
    <row r="1239" ht="31" customHeight="1" spans="1:11">
      <c r="A1239" s="19">
        <v>1235</v>
      </c>
      <c r="B1239" s="19" t="s">
        <v>1253</v>
      </c>
      <c r="C1239" s="47" t="s">
        <v>1349</v>
      </c>
      <c r="D1239" s="19" t="s">
        <v>1357</v>
      </c>
      <c r="E1239" s="31" t="s">
        <v>17</v>
      </c>
      <c r="F1239" s="19" t="s">
        <v>18</v>
      </c>
      <c r="G1239" s="19" t="s">
        <v>32</v>
      </c>
      <c r="H1239" s="23">
        <v>45323</v>
      </c>
      <c r="I1239" s="19">
        <v>800</v>
      </c>
      <c r="J1239" s="24" t="s">
        <v>20</v>
      </c>
      <c r="K1239" s="19"/>
    </row>
    <row r="1240" ht="31" customHeight="1" spans="1:11">
      <c r="A1240" s="19">
        <v>1236</v>
      </c>
      <c r="B1240" s="19" t="s">
        <v>1253</v>
      </c>
      <c r="C1240" s="47" t="s">
        <v>1349</v>
      </c>
      <c r="D1240" s="19" t="s">
        <v>1358</v>
      </c>
      <c r="E1240" s="31" t="s">
        <v>17</v>
      </c>
      <c r="F1240" s="19" t="s">
        <v>18</v>
      </c>
      <c r="G1240" s="19" t="s">
        <v>19</v>
      </c>
      <c r="H1240" s="23">
        <v>45323</v>
      </c>
      <c r="I1240" s="19">
        <v>600</v>
      </c>
      <c r="J1240" s="24" t="s">
        <v>20</v>
      </c>
      <c r="K1240" s="19"/>
    </row>
    <row r="1241" ht="31" customHeight="1" spans="1:11">
      <c r="A1241" s="19">
        <v>1237</v>
      </c>
      <c r="B1241" s="19" t="s">
        <v>1253</v>
      </c>
      <c r="C1241" s="47" t="s">
        <v>1349</v>
      </c>
      <c r="D1241" s="19" t="s">
        <v>1359</v>
      </c>
      <c r="E1241" s="31" t="s">
        <v>17</v>
      </c>
      <c r="F1241" s="19" t="s">
        <v>18</v>
      </c>
      <c r="G1241" s="19" t="s">
        <v>19</v>
      </c>
      <c r="H1241" s="23">
        <v>45323</v>
      </c>
      <c r="I1241" s="19">
        <v>600</v>
      </c>
      <c r="J1241" s="24" t="s">
        <v>20</v>
      </c>
      <c r="K1241" s="19"/>
    </row>
    <row r="1242" ht="31" customHeight="1" spans="1:11">
      <c r="A1242" s="19">
        <v>1238</v>
      </c>
      <c r="B1242" s="19" t="s">
        <v>1253</v>
      </c>
      <c r="C1242" s="47" t="s">
        <v>1349</v>
      </c>
      <c r="D1242" s="19" t="s">
        <v>1360</v>
      </c>
      <c r="E1242" s="31" t="s">
        <v>17</v>
      </c>
      <c r="F1242" s="19" t="s">
        <v>18</v>
      </c>
      <c r="G1242" s="19" t="s">
        <v>19</v>
      </c>
      <c r="H1242" s="23">
        <v>45323</v>
      </c>
      <c r="I1242" s="19">
        <v>600</v>
      </c>
      <c r="J1242" s="24" t="s">
        <v>20</v>
      </c>
      <c r="K1242" s="19"/>
    </row>
    <row r="1243" ht="31" customHeight="1" spans="1:11">
      <c r="A1243" s="19">
        <v>1239</v>
      </c>
      <c r="B1243" s="19" t="s">
        <v>1253</v>
      </c>
      <c r="C1243" s="47" t="s">
        <v>1349</v>
      </c>
      <c r="D1243" s="19" t="s">
        <v>1361</v>
      </c>
      <c r="E1243" s="31" t="s">
        <v>17</v>
      </c>
      <c r="F1243" s="19" t="s">
        <v>18</v>
      </c>
      <c r="G1243" s="19" t="s">
        <v>19</v>
      </c>
      <c r="H1243" s="37">
        <v>45292</v>
      </c>
      <c r="I1243" s="19">
        <v>600</v>
      </c>
      <c r="J1243" s="24" t="s">
        <v>20</v>
      </c>
      <c r="K1243" s="19"/>
    </row>
    <row r="1244" ht="31" customHeight="1" spans="1:11">
      <c r="A1244" s="19">
        <v>1240</v>
      </c>
      <c r="B1244" s="19" t="s">
        <v>1253</v>
      </c>
      <c r="C1244" s="51" t="s">
        <v>1362</v>
      </c>
      <c r="D1244" s="19" t="s">
        <v>1363</v>
      </c>
      <c r="E1244" s="31" t="s">
        <v>17</v>
      </c>
      <c r="F1244" s="19" t="s">
        <v>18</v>
      </c>
      <c r="G1244" s="19" t="s">
        <v>19</v>
      </c>
      <c r="H1244" s="37">
        <v>45352</v>
      </c>
      <c r="I1244" s="19">
        <v>600</v>
      </c>
      <c r="J1244" s="24" t="s">
        <v>20</v>
      </c>
      <c r="K1244" s="19"/>
    </row>
    <row r="1245" ht="31" customHeight="1" spans="1:11">
      <c r="A1245" s="19">
        <v>1241</v>
      </c>
      <c r="B1245" s="47" t="s">
        <v>1253</v>
      </c>
      <c r="C1245" s="47" t="s">
        <v>1362</v>
      </c>
      <c r="D1245" s="47" t="s">
        <v>1364</v>
      </c>
      <c r="E1245" s="31" t="s">
        <v>17</v>
      </c>
      <c r="F1245" s="19" t="s">
        <v>18</v>
      </c>
      <c r="G1245" s="19" t="s">
        <v>19</v>
      </c>
      <c r="H1245" s="37">
        <v>45292</v>
      </c>
      <c r="I1245" s="19">
        <v>600</v>
      </c>
      <c r="J1245" s="24" t="s">
        <v>20</v>
      </c>
      <c r="K1245" s="19"/>
    </row>
    <row r="1246" ht="31" customHeight="1" spans="1:11">
      <c r="A1246" s="19">
        <v>1242</v>
      </c>
      <c r="B1246" s="19" t="s">
        <v>1253</v>
      </c>
      <c r="C1246" s="47" t="s">
        <v>1362</v>
      </c>
      <c r="D1246" s="19" t="s">
        <v>1365</v>
      </c>
      <c r="E1246" s="31" t="s">
        <v>17</v>
      </c>
      <c r="F1246" s="19" t="s">
        <v>18</v>
      </c>
      <c r="G1246" s="19" t="s">
        <v>19</v>
      </c>
      <c r="H1246" s="37">
        <v>45292</v>
      </c>
      <c r="I1246" s="19">
        <v>600</v>
      </c>
      <c r="J1246" s="24" t="s">
        <v>20</v>
      </c>
      <c r="K1246" s="19"/>
    </row>
    <row r="1247" ht="31" customHeight="1" spans="1:11">
      <c r="A1247" s="19">
        <v>1243</v>
      </c>
      <c r="B1247" s="19" t="s">
        <v>1253</v>
      </c>
      <c r="C1247" s="47" t="s">
        <v>1362</v>
      </c>
      <c r="D1247" s="19" t="s">
        <v>1366</v>
      </c>
      <c r="E1247" s="31" t="s">
        <v>17</v>
      </c>
      <c r="F1247" s="19" t="s">
        <v>18</v>
      </c>
      <c r="G1247" s="19" t="s">
        <v>55</v>
      </c>
      <c r="H1247" s="37">
        <v>45292</v>
      </c>
      <c r="I1247" s="19">
        <v>800</v>
      </c>
      <c r="J1247" s="24" t="s">
        <v>20</v>
      </c>
      <c r="K1247" s="19"/>
    </row>
    <row r="1248" ht="31" customHeight="1" spans="1:11">
      <c r="A1248" s="19">
        <v>1244</v>
      </c>
      <c r="B1248" s="19" t="s">
        <v>1253</v>
      </c>
      <c r="C1248" s="47" t="s">
        <v>1362</v>
      </c>
      <c r="D1248" s="19" t="s">
        <v>1367</v>
      </c>
      <c r="E1248" s="31" t="s">
        <v>17</v>
      </c>
      <c r="F1248" s="19" t="s">
        <v>18</v>
      </c>
      <c r="G1248" s="19" t="s">
        <v>19</v>
      </c>
      <c r="H1248" s="37">
        <v>45292</v>
      </c>
      <c r="I1248" s="19">
        <v>600</v>
      </c>
      <c r="J1248" s="24" t="s">
        <v>20</v>
      </c>
      <c r="K1248" s="19"/>
    </row>
    <row r="1249" ht="31" customHeight="1" spans="1:11">
      <c r="A1249" s="19">
        <v>1245</v>
      </c>
      <c r="B1249" s="19" t="s">
        <v>1253</v>
      </c>
      <c r="C1249" s="47" t="s">
        <v>1362</v>
      </c>
      <c r="D1249" s="19" t="s">
        <v>1368</v>
      </c>
      <c r="E1249" s="31" t="s">
        <v>17</v>
      </c>
      <c r="F1249" s="19" t="s">
        <v>18</v>
      </c>
      <c r="G1249" s="19" t="s">
        <v>19</v>
      </c>
      <c r="H1249" s="37">
        <v>45292</v>
      </c>
      <c r="I1249" s="19">
        <v>600</v>
      </c>
      <c r="J1249" s="24" t="s">
        <v>20</v>
      </c>
      <c r="K1249" s="19"/>
    </row>
    <row r="1250" ht="31" customHeight="1" spans="1:11">
      <c r="A1250" s="19">
        <v>1246</v>
      </c>
      <c r="B1250" s="19" t="s">
        <v>1253</v>
      </c>
      <c r="C1250" s="47" t="s">
        <v>1362</v>
      </c>
      <c r="D1250" s="19" t="s">
        <v>1369</v>
      </c>
      <c r="E1250" s="31" t="s">
        <v>17</v>
      </c>
      <c r="F1250" s="19" t="s">
        <v>18</v>
      </c>
      <c r="G1250" s="19" t="s">
        <v>19</v>
      </c>
      <c r="H1250" s="37">
        <v>45292</v>
      </c>
      <c r="I1250" s="19">
        <v>600</v>
      </c>
      <c r="J1250" s="24" t="s">
        <v>20</v>
      </c>
      <c r="K1250" s="19"/>
    </row>
    <row r="1251" ht="31" customHeight="1" spans="1:11">
      <c r="A1251" s="19">
        <v>1247</v>
      </c>
      <c r="B1251" s="19" t="s">
        <v>1253</v>
      </c>
      <c r="C1251" s="47" t="s">
        <v>1362</v>
      </c>
      <c r="D1251" s="19" t="s">
        <v>1370</v>
      </c>
      <c r="E1251" s="31" t="s">
        <v>17</v>
      </c>
      <c r="F1251" s="19" t="s">
        <v>18</v>
      </c>
      <c r="G1251" s="19" t="s">
        <v>98</v>
      </c>
      <c r="H1251" s="37">
        <v>45352</v>
      </c>
      <c r="I1251" s="19">
        <v>800</v>
      </c>
      <c r="J1251" s="24" t="s">
        <v>20</v>
      </c>
      <c r="K1251" s="19"/>
    </row>
    <row r="1252" ht="31" customHeight="1" spans="1:11">
      <c r="A1252" s="19">
        <v>1248</v>
      </c>
      <c r="B1252" s="19" t="s">
        <v>1253</v>
      </c>
      <c r="C1252" s="47" t="s">
        <v>1362</v>
      </c>
      <c r="D1252" s="19" t="s">
        <v>1371</v>
      </c>
      <c r="E1252" s="31" t="s">
        <v>17</v>
      </c>
      <c r="F1252" s="19" t="s">
        <v>18</v>
      </c>
      <c r="G1252" s="19" t="s">
        <v>19</v>
      </c>
      <c r="H1252" s="37">
        <v>45352</v>
      </c>
      <c r="I1252" s="19">
        <v>600</v>
      </c>
      <c r="J1252" s="24" t="s">
        <v>20</v>
      </c>
      <c r="K1252" s="19"/>
    </row>
    <row r="1253" ht="31" customHeight="1" spans="1:11">
      <c r="A1253" s="19">
        <v>1249</v>
      </c>
      <c r="B1253" s="19" t="s">
        <v>1253</v>
      </c>
      <c r="C1253" s="47" t="s">
        <v>1362</v>
      </c>
      <c r="D1253" s="20" t="s">
        <v>1372</v>
      </c>
      <c r="E1253" s="31" t="s">
        <v>17</v>
      </c>
      <c r="F1253" s="20" t="s">
        <v>18</v>
      </c>
      <c r="G1253" s="20" t="s">
        <v>19</v>
      </c>
      <c r="H1253" s="37">
        <v>45292</v>
      </c>
      <c r="I1253" s="19">
        <v>600</v>
      </c>
      <c r="J1253" s="24" t="s">
        <v>20</v>
      </c>
      <c r="K1253" s="19"/>
    </row>
    <row r="1254" ht="31" customHeight="1" spans="1:11">
      <c r="A1254" s="19">
        <v>1250</v>
      </c>
      <c r="B1254" s="19" t="s">
        <v>1253</v>
      </c>
      <c r="C1254" s="47" t="s">
        <v>1362</v>
      </c>
      <c r="D1254" s="19" t="s">
        <v>1373</v>
      </c>
      <c r="E1254" s="31" t="s">
        <v>17</v>
      </c>
      <c r="F1254" s="19" t="s">
        <v>18</v>
      </c>
      <c r="G1254" s="19" t="s">
        <v>19</v>
      </c>
      <c r="H1254" s="37">
        <v>45292</v>
      </c>
      <c r="I1254" s="19">
        <v>600</v>
      </c>
      <c r="J1254" s="24" t="s">
        <v>20</v>
      </c>
      <c r="K1254" s="19"/>
    </row>
    <row r="1255" ht="31" customHeight="1" spans="1:11">
      <c r="A1255" s="19">
        <v>1251</v>
      </c>
      <c r="B1255" s="19" t="s">
        <v>1253</v>
      </c>
      <c r="C1255" s="47" t="s">
        <v>1362</v>
      </c>
      <c r="D1255" s="19" t="s">
        <v>1374</v>
      </c>
      <c r="E1255" s="31" t="s">
        <v>17</v>
      </c>
      <c r="F1255" s="19" t="s">
        <v>18</v>
      </c>
      <c r="G1255" s="19" t="s">
        <v>351</v>
      </c>
      <c r="H1255" s="23">
        <v>45323</v>
      </c>
      <c r="I1255" s="19">
        <v>800</v>
      </c>
      <c r="J1255" s="24" t="s">
        <v>20</v>
      </c>
      <c r="K1255" s="19"/>
    </row>
    <row r="1256" ht="31" customHeight="1" spans="1:11">
      <c r="A1256" s="19">
        <v>1252</v>
      </c>
      <c r="B1256" s="20" t="s">
        <v>1253</v>
      </c>
      <c r="C1256" s="51" t="s">
        <v>1362</v>
      </c>
      <c r="D1256" s="20" t="s">
        <v>1375</v>
      </c>
      <c r="E1256" s="21" t="s">
        <v>17</v>
      </c>
      <c r="F1256" s="20" t="s">
        <v>18</v>
      </c>
      <c r="G1256" s="20" t="s">
        <v>351</v>
      </c>
      <c r="H1256" s="23">
        <v>45292</v>
      </c>
      <c r="I1256" s="19">
        <v>800</v>
      </c>
      <c r="J1256" s="24" t="s">
        <v>20</v>
      </c>
      <c r="K1256" s="19"/>
    </row>
    <row r="1257" ht="31" customHeight="1" spans="1:11">
      <c r="A1257" s="19">
        <v>1253</v>
      </c>
      <c r="B1257" s="19" t="s">
        <v>1253</v>
      </c>
      <c r="C1257" s="47" t="s">
        <v>1362</v>
      </c>
      <c r="D1257" s="19" t="s">
        <v>1376</v>
      </c>
      <c r="E1257" s="31" t="s">
        <v>17</v>
      </c>
      <c r="F1257" s="19" t="s">
        <v>18</v>
      </c>
      <c r="G1257" s="19" t="s">
        <v>19</v>
      </c>
      <c r="H1257" s="23">
        <v>45323</v>
      </c>
      <c r="I1257" s="19">
        <v>600</v>
      </c>
      <c r="J1257" s="24" t="s">
        <v>20</v>
      </c>
      <c r="K1257" s="19"/>
    </row>
    <row r="1258" ht="31" customHeight="1" spans="1:11">
      <c r="A1258" s="19">
        <v>1254</v>
      </c>
      <c r="B1258" s="19" t="s">
        <v>1253</v>
      </c>
      <c r="C1258" s="47" t="s">
        <v>1362</v>
      </c>
      <c r="D1258" s="19" t="s">
        <v>1377</v>
      </c>
      <c r="E1258" s="31" t="s">
        <v>17</v>
      </c>
      <c r="F1258" s="19" t="s">
        <v>18</v>
      </c>
      <c r="G1258" s="19" t="s">
        <v>19</v>
      </c>
      <c r="H1258" s="23">
        <v>45323</v>
      </c>
      <c r="I1258" s="19">
        <v>600</v>
      </c>
      <c r="J1258" s="24" t="s">
        <v>20</v>
      </c>
      <c r="K1258" s="19"/>
    </row>
    <row r="1259" ht="31" customHeight="1" spans="1:11">
      <c r="A1259" s="19">
        <v>1255</v>
      </c>
      <c r="B1259" s="19" t="s">
        <v>1253</v>
      </c>
      <c r="C1259" s="47" t="s">
        <v>1362</v>
      </c>
      <c r="D1259" s="19" t="s">
        <v>1378</v>
      </c>
      <c r="E1259" s="31" t="s">
        <v>17</v>
      </c>
      <c r="F1259" s="19" t="s">
        <v>18</v>
      </c>
      <c r="G1259" s="19" t="s">
        <v>19</v>
      </c>
      <c r="H1259" s="23">
        <v>45323</v>
      </c>
      <c r="I1259" s="19">
        <v>600</v>
      </c>
      <c r="J1259" s="24" t="s">
        <v>20</v>
      </c>
      <c r="K1259" s="19"/>
    </row>
    <row r="1260" ht="31" customHeight="1" spans="1:11">
      <c r="A1260" s="19">
        <v>1256</v>
      </c>
      <c r="B1260" s="19" t="s">
        <v>1253</v>
      </c>
      <c r="C1260" s="47" t="s">
        <v>1362</v>
      </c>
      <c r="D1260" s="19" t="s">
        <v>1379</v>
      </c>
      <c r="E1260" s="31" t="s">
        <v>17</v>
      </c>
      <c r="F1260" s="19" t="s">
        <v>18</v>
      </c>
      <c r="G1260" s="19" t="s">
        <v>19</v>
      </c>
      <c r="H1260" s="23">
        <v>45323</v>
      </c>
      <c r="I1260" s="19">
        <v>600</v>
      </c>
      <c r="J1260" s="24" t="s">
        <v>20</v>
      </c>
      <c r="K1260" s="19"/>
    </row>
    <row r="1261" ht="31" customHeight="1" spans="1:11">
      <c r="A1261" s="19">
        <v>1257</v>
      </c>
      <c r="B1261" s="19" t="s">
        <v>1253</v>
      </c>
      <c r="C1261" s="47" t="s">
        <v>1362</v>
      </c>
      <c r="D1261" s="19" t="s">
        <v>1380</v>
      </c>
      <c r="E1261" s="31" t="s">
        <v>17</v>
      </c>
      <c r="F1261" s="19" t="s">
        <v>18</v>
      </c>
      <c r="G1261" s="19" t="s">
        <v>19</v>
      </c>
      <c r="H1261" s="23">
        <v>45323</v>
      </c>
      <c r="I1261" s="19">
        <v>600</v>
      </c>
      <c r="J1261" s="24" t="s">
        <v>20</v>
      </c>
      <c r="K1261" s="19"/>
    </row>
    <row r="1262" ht="31" customHeight="1" spans="1:11">
      <c r="A1262" s="19">
        <v>1258</v>
      </c>
      <c r="B1262" s="19" t="s">
        <v>1253</v>
      </c>
      <c r="C1262" s="47" t="s">
        <v>1362</v>
      </c>
      <c r="D1262" s="19" t="s">
        <v>1381</v>
      </c>
      <c r="E1262" s="31" t="s">
        <v>17</v>
      </c>
      <c r="F1262" s="19" t="s">
        <v>18</v>
      </c>
      <c r="G1262" s="19" t="s">
        <v>19</v>
      </c>
      <c r="H1262" s="37">
        <v>45352</v>
      </c>
      <c r="I1262" s="19">
        <v>600</v>
      </c>
      <c r="J1262" s="24" t="s">
        <v>20</v>
      </c>
      <c r="K1262" s="19"/>
    </row>
    <row r="1263" ht="31" customHeight="1" spans="1:11">
      <c r="A1263" s="19">
        <v>1259</v>
      </c>
      <c r="B1263" s="19" t="s">
        <v>1253</v>
      </c>
      <c r="C1263" s="47" t="s">
        <v>1362</v>
      </c>
      <c r="D1263" s="19" t="s">
        <v>1382</v>
      </c>
      <c r="E1263" s="31" t="s">
        <v>17</v>
      </c>
      <c r="F1263" s="19" t="s">
        <v>18</v>
      </c>
      <c r="G1263" s="19" t="s">
        <v>19</v>
      </c>
      <c r="H1263" s="23">
        <v>45323</v>
      </c>
      <c r="I1263" s="19">
        <v>600</v>
      </c>
      <c r="J1263" s="24" t="s">
        <v>20</v>
      </c>
      <c r="K1263" s="19"/>
    </row>
    <row r="1264" ht="31" customHeight="1" spans="1:11">
      <c r="A1264" s="19">
        <v>1260</v>
      </c>
      <c r="B1264" s="19" t="s">
        <v>1253</v>
      </c>
      <c r="C1264" s="47" t="s">
        <v>1362</v>
      </c>
      <c r="D1264" s="19" t="s">
        <v>1383</v>
      </c>
      <c r="E1264" s="31" t="s">
        <v>17</v>
      </c>
      <c r="F1264" s="19" t="s">
        <v>18</v>
      </c>
      <c r="G1264" s="19" t="s">
        <v>19</v>
      </c>
      <c r="H1264" s="57">
        <v>45292</v>
      </c>
      <c r="I1264" s="19">
        <v>600</v>
      </c>
      <c r="J1264" s="24" t="s">
        <v>20</v>
      </c>
      <c r="K1264" s="19"/>
    </row>
    <row r="1265" ht="31" customHeight="1" spans="1:11">
      <c r="A1265" s="19">
        <v>1261</v>
      </c>
      <c r="B1265" s="19" t="s">
        <v>1253</v>
      </c>
      <c r="C1265" s="47" t="s">
        <v>1362</v>
      </c>
      <c r="D1265" s="19" t="s">
        <v>1384</v>
      </c>
      <c r="E1265" s="31" t="s">
        <v>17</v>
      </c>
      <c r="F1265" s="19" t="s">
        <v>18</v>
      </c>
      <c r="G1265" s="19" t="s">
        <v>19</v>
      </c>
      <c r="H1265" s="37">
        <v>45352</v>
      </c>
      <c r="I1265" s="19">
        <v>600</v>
      </c>
      <c r="J1265" s="24" t="s">
        <v>20</v>
      </c>
      <c r="K1265" s="19"/>
    </row>
    <row r="1266" ht="31" customHeight="1" spans="1:11">
      <c r="A1266" s="19">
        <v>1262</v>
      </c>
      <c r="B1266" s="19" t="s">
        <v>1253</v>
      </c>
      <c r="C1266" s="47" t="s">
        <v>1362</v>
      </c>
      <c r="D1266" s="19" t="s">
        <v>1385</v>
      </c>
      <c r="E1266" s="31" t="s">
        <v>17</v>
      </c>
      <c r="F1266" s="19" t="s">
        <v>18</v>
      </c>
      <c r="G1266" s="19" t="s">
        <v>19</v>
      </c>
      <c r="H1266" s="57">
        <v>45474</v>
      </c>
      <c r="I1266" s="19">
        <v>600</v>
      </c>
      <c r="J1266" s="24" t="s">
        <v>20</v>
      </c>
      <c r="K1266" s="19"/>
    </row>
    <row r="1267" ht="31" customHeight="1" spans="1:11">
      <c r="A1267" s="19">
        <v>1263</v>
      </c>
      <c r="B1267" s="19" t="s">
        <v>1253</v>
      </c>
      <c r="C1267" s="47" t="s">
        <v>1362</v>
      </c>
      <c r="D1267" s="19" t="s">
        <v>1386</v>
      </c>
      <c r="E1267" s="31" t="s">
        <v>17</v>
      </c>
      <c r="F1267" s="19" t="s">
        <v>18</v>
      </c>
      <c r="G1267" s="19" t="s">
        <v>29</v>
      </c>
      <c r="H1267" s="23">
        <v>45323</v>
      </c>
      <c r="I1267" s="19">
        <v>800</v>
      </c>
      <c r="J1267" s="24" t="s">
        <v>20</v>
      </c>
      <c r="K1267" s="19"/>
    </row>
    <row r="1268" ht="31" customHeight="1" spans="1:11">
      <c r="A1268" s="19">
        <v>1264</v>
      </c>
      <c r="B1268" s="19" t="s">
        <v>1253</v>
      </c>
      <c r="C1268" s="47" t="s">
        <v>1362</v>
      </c>
      <c r="D1268" s="19" t="s">
        <v>1387</v>
      </c>
      <c r="E1268" s="21" t="s">
        <v>17</v>
      </c>
      <c r="F1268" s="19" t="s">
        <v>18</v>
      </c>
      <c r="G1268" s="19" t="s">
        <v>19</v>
      </c>
      <c r="H1268" s="57">
        <v>45292</v>
      </c>
      <c r="I1268" s="19">
        <v>600</v>
      </c>
      <c r="J1268" s="24" t="s">
        <v>20</v>
      </c>
      <c r="K1268" s="19"/>
    </row>
    <row r="1269" ht="31" customHeight="1" spans="1:11">
      <c r="A1269" s="19">
        <v>1265</v>
      </c>
      <c r="B1269" s="19" t="s">
        <v>1253</v>
      </c>
      <c r="C1269" s="47" t="s">
        <v>1362</v>
      </c>
      <c r="D1269" s="19" t="s">
        <v>1388</v>
      </c>
      <c r="E1269" s="31" t="s">
        <v>17</v>
      </c>
      <c r="F1269" s="19" t="s">
        <v>18</v>
      </c>
      <c r="G1269" s="19" t="s">
        <v>19</v>
      </c>
      <c r="H1269" s="23">
        <v>45323</v>
      </c>
      <c r="I1269" s="19">
        <v>600</v>
      </c>
      <c r="J1269" s="24" t="s">
        <v>20</v>
      </c>
      <c r="K1269" s="19"/>
    </row>
    <row r="1270" ht="31" customHeight="1" spans="1:11">
      <c r="A1270" s="19">
        <v>1266</v>
      </c>
      <c r="B1270" s="19" t="s">
        <v>1253</v>
      </c>
      <c r="C1270" s="47" t="s">
        <v>1362</v>
      </c>
      <c r="D1270" s="19" t="s">
        <v>1389</v>
      </c>
      <c r="E1270" s="31" t="s">
        <v>17</v>
      </c>
      <c r="F1270" s="19" t="s">
        <v>18</v>
      </c>
      <c r="G1270" s="19" t="s">
        <v>19</v>
      </c>
      <c r="H1270" s="57">
        <v>45292</v>
      </c>
      <c r="I1270" s="19">
        <v>600</v>
      </c>
      <c r="J1270" s="24" t="s">
        <v>20</v>
      </c>
      <c r="K1270" s="19"/>
    </row>
    <row r="1271" ht="31" customHeight="1" spans="1:11">
      <c r="A1271" s="19">
        <v>1267</v>
      </c>
      <c r="B1271" s="19" t="s">
        <v>1253</v>
      </c>
      <c r="C1271" s="47" t="s">
        <v>1362</v>
      </c>
      <c r="D1271" s="19" t="s">
        <v>1390</v>
      </c>
      <c r="E1271" s="31" t="s">
        <v>17</v>
      </c>
      <c r="F1271" s="19" t="s">
        <v>18</v>
      </c>
      <c r="G1271" s="19" t="s">
        <v>19</v>
      </c>
      <c r="H1271" s="57">
        <v>45292</v>
      </c>
      <c r="I1271" s="19">
        <v>600</v>
      </c>
      <c r="J1271" s="24" t="s">
        <v>20</v>
      </c>
      <c r="K1271" s="19"/>
    </row>
    <row r="1272" ht="31" customHeight="1" spans="1:11">
      <c r="A1272" s="19">
        <v>1268</v>
      </c>
      <c r="B1272" s="19" t="s">
        <v>1253</v>
      </c>
      <c r="C1272" s="47" t="s">
        <v>1362</v>
      </c>
      <c r="D1272" s="19" t="s">
        <v>1391</v>
      </c>
      <c r="E1272" s="31" t="s">
        <v>17</v>
      </c>
      <c r="F1272" s="19" t="s">
        <v>18</v>
      </c>
      <c r="G1272" s="19" t="s">
        <v>32</v>
      </c>
      <c r="H1272" s="37">
        <v>45352</v>
      </c>
      <c r="I1272" s="19">
        <v>800</v>
      </c>
      <c r="J1272" s="24" t="s">
        <v>20</v>
      </c>
      <c r="K1272" s="19"/>
    </row>
    <row r="1273" ht="31" customHeight="1" spans="1:11">
      <c r="A1273" s="19">
        <v>1269</v>
      </c>
      <c r="B1273" s="19" t="s">
        <v>1253</v>
      </c>
      <c r="C1273" s="47" t="s">
        <v>1362</v>
      </c>
      <c r="D1273" s="19" t="s">
        <v>1392</v>
      </c>
      <c r="E1273" s="21" t="s">
        <v>17</v>
      </c>
      <c r="F1273" s="19" t="s">
        <v>18</v>
      </c>
      <c r="G1273" s="19" t="s">
        <v>19</v>
      </c>
      <c r="H1273" s="57">
        <v>45474</v>
      </c>
      <c r="I1273" s="19">
        <v>600</v>
      </c>
      <c r="J1273" s="24" t="s">
        <v>20</v>
      </c>
      <c r="K1273" s="19"/>
    </row>
    <row r="1274" ht="31" customHeight="1" spans="1:11">
      <c r="A1274" s="19">
        <v>1270</v>
      </c>
      <c r="B1274" s="20" t="s">
        <v>1253</v>
      </c>
      <c r="C1274" s="20" t="s">
        <v>1393</v>
      </c>
      <c r="D1274" s="20" t="s">
        <v>1394</v>
      </c>
      <c r="E1274" s="21" t="s">
        <v>17</v>
      </c>
      <c r="F1274" s="20" t="s">
        <v>18</v>
      </c>
      <c r="G1274" s="20" t="s">
        <v>19</v>
      </c>
      <c r="H1274" s="57">
        <v>45292</v>
      </c>
      <c r="I1274" s="19">
        <f>IF(F1274="是",VLOOKUP(G1274,[200]Sheet2!A:C,3,FALSE),VLOOKUP(G1274,[200]Sheet2!A:B,2,FALSE))</f>
        <v>600</v>
      </c>
      <c r="J1274" s="24" t="s">
        <v>20</v>
      </c>
      <c r="K1274" s="19"/>
    </row>
    <row r="1275" ht="31" customHeight="1" spans="1:11">
      <c r="A1275" s="19">
        <v>1271</v>
      </c>
      <c r="B1275" s="20" t="s">
        <v>1253</v>
      </c>
      <c r="C1275" s="20" t="s">
        <v>1393</v>
      </c>
      <c r="D1275" s="20" t="s">
        <v>1395</v>
      </c>
      <c r="E1275" s="21" t="s">
        <v>17</v>
      </c>
      <c r="F1275" s="20" t="s">
        <v>18</v>
      </c>
      <c r="G1275" s="20" t="s">
        <v>29</v>
      </c>
      <c r="H1275" s="57">
        <v>45292</v>
      </c>
      <c r="I1275" s="19">
        <v>800</v>
      </c>
      <c r="J1275" s="24" t="s">
        <v>20</v>
      </c>
      <c r="K1275" s="19"/>
    </row>
    <row r="1276" ht="31" customHeight="1" spans="1:11">
      <c r="A1276" s="19">
        <v>1272</v>
      </c>
      <c r="B1276" s="20" t="s">
        <v>1253</v>
      </c>
      <c r="C1276" s="20" t="s">
        <v>1393</v>
      </c>
      <c r="D1276" s="20" t="s">
        <v>1396</v>
      </c>
      <c r="E1276" s="21" t="s">
        <v>17</v>
      </c>
      <c r="F1276" s="20" t="s">
        <v>18</v>
      </c>
      <c r="G1276" s="20" t="s">
        <v>29</v>
      </c>
      <c r="H1276" s="57">
        <v>45292</v>
      </c>
      <c r="I1276" s="19">
        <v>800</v>
      </c>
      <c r="J1276" s="24" t="s">
        <v>20</v>
      </c>
      <c r="K1276" s="19"/>
    </row>
    <row r="1277" ht="31" customHeight="1" spans="1:11">
      <c r="A1277" s="19">
        <v>1273</v>
      </c>
      <c r="B1277" s="20" t="s">
        <v>1253</v>
      </c>
      <c r="C1277" s="20" t="s">
        <v>1393</v>
      </c>
      <c r="D1277" s="20" t="s">
        <v>1397</v>
      </c>
      <c r="E1277" s="21" t="s">
        <v>17</v>
      </c>
      <c r="F1277" s="20" t="s">
        <v>18</v>
      </c>
      <c r="G1277" s="20" t="s">
        <v>29</v>
      </c>
      <c r="H1277" s="57">
        <v>45292</v>
      </c>
      <c r="I1277" s="19">
        <v>800</v>
      </c>
      <c r="J1277" s="24" t="s">
        <v>20</v>
      </c>
      <c r="K1277" s="19"/>
    </row>
    <row r="1278" ht="31" customHeight="1" spans="1:11">
      <c r="A1278" s="19">
        <v>1274</v>
      </c>
      <c r="B1278" s="20" t="s">
        <v>1253</v>
      </c>
      <c r="C1278" s="20" t="s">
        <v>1393</v>
      </c>
      <c r="D1278" s="20" t="s">
        <v>1398</v>
      </c>
      <c r="E1278" s="21" t="s">
        <v>17</v>
      </c>
      <c r="F1278" s="20" t="s">
        <v>18</v>
      </c>
      <c r="G1278" s="20" t="s">
        <v>29</v>
      </c>
      <c r="H1278" s="57">
        <v>45292</v>
      </c>
      <c r="I1278" s="19">
        <v>800</v>
      </c>
      <c r="J1278" s="24" t="s">
        <v>20</v>
      </c>
      <c r="K1278" s="19"/>
    </row>
    <row r="1279" ht="31" customHeight="1" spans="1:11">
      <c r="A1279" s="19">
        <v>1275</v>
      </c>
      <c r="B1279" s="20" t="s">
        <v>1253</v>
      </c>
      <c r="C1279" s="20" t="s">
        <v>1393</v>
      </c>
      <c r="D1279" s="20" t="s">
        <v>1399</v>
      </c>
      <c r="E1279" s="21" t="s">
        <v>17</v>
      </c>
      <c r="F1279" s="20" t="s">
        <v>18</v>
      </c>
      <c r="G1279" s="20" t="s">
        <v>19</v>
      </c>
      <c r="H1279" s="57">
        <v>45474</v>
      </c>
      <c r="I1279" s="19">
        <f>IF(F1279="是",VLOOKUP(G1279,[195]Sheet2!A:C,3,FALSE),VLOOKUP(G1279,[195]Sheet2!A:B,2,FALSE))</f>
        <v>600</v>
      </c>
      <c r="J1279" s="24" t="s">
        <v>20</v>
      </c>
      <c r="K1279" s="19"/>
    </row>
    <row r="1280" ht="31" customHeight="1" spans="1:11">
      <c r="A1280" s="19">
        <v>1276</v>
      </c>
      <c r="B1280" s="20" t="s">
        <v>1253</v>
      </c>
      <c r="C1280" s="20" t="s">
        <v>1393</v>
      </c>
      <c r="D1280" s="20" t="s">
        <v>1400</v>
      </c>
      <c r="E1280" s="21" t="s">
        <v>17</v>
      </c>
      <c r="F1280" s="20" t="s">
        <v>18</v>
      </c>
      <c r="G1280" s="20" t="s">
        <v>19</v>
      </c>
      <c r="H1280" s="23">
        <v>45292</v>
      </c>
      <c r="I1280" s="19">
        <f>IF(F1280="是",VLOOKUP(G1280,[195]Sheet2!A:C,3,FALSE),VLOOKUP(G1280,[195]Sheet2!A:B,2,FALSE))</f>
        <v>600</v>
      </c>
      <c r="J1280" s="24" t="s">
        <v>20</v>
      </c>
      <c r="K1280" s="19"/>
    </row>
    <row r="1281" ht="31" customHeight="1" spans="1:11">
      <c r="A1281" s="19">
        <v>1277</v>
      </c>
      <c r="B1281" s="20" t="s">
        <v>1253</v>
      </c>
      <c r="C1281" s="20" t="s">
        <v>1393</v>
      </c>
      <c r="D1281" s="20" t="s">
        <v>1401</v>
      </c>
      <c r="E1281" s="21" t="s">
        <v>17</v>
      </c>
      <c r="F1281" s="20" t="s">
        <v>18</v>
      </c>
      <c r="G1281" s="20" t="s">
        <v>29</v>
      </c>
      <c r="H1281" s="23">
        <v>45292</v>
      </c>
      <c r="I1281" s="19">
        <f>IF(F1281="是",VLOOKUP(G1281,[195]Sheet2!A:C,3,FALSE),VLOOKUP(G1281,[195]Sheet2!A:B,2,FALSE))</f>
        <v>800</v>
      </c>
      <c r="J1281" s="24" t="s">
        <v>20</v>
      </c>
      <c r="K1281" s="19"/>
    </row>
    <row r="1282" ht="31" customHeight="1" spans="1:11">
      <c r="A1282" s="19">
        <v>1278</v>
      </c>
      <c r="B1282" s="20" t="s">
        <v>1253</v>
      </c>
      <c r="C1282" s="20" t="s">
        <v>1393</v>
      </c>
      <c r="D1282" s="20" t="s">
        <v>1402</v>
      </c>
      <c r="E1282" s="21" t="s">
        <v>17</v>
      </c>
      <c r="F1282" s="20" t="s">
        <v>18</v>
      </c>
      <c r="G1282" s="20" t="s">
        <v>29</v>
      </c>
      <c r="H1282" s="23">
        <v>45292</v>
      </c>
      <c r="I1282" s="19">
        <f>IF(F1282="是",VLOOKUP(G1282,[195]Sheet2!A:C,3,FALSE),VLOOKUP(G1282,[195]Sheet2!A:B,2,FALSE))</f>
        <v>800</v>
      </c>
      <c r="J1282" s="24" t="s">
        <v>20</v>
      </c>
      <c r="K1282" s="19"/>
    </row>
    <row r="1283" ht="31" customHeight="1" spans="1:11">
      <c r="A1283" s="19">
        <v>1279</v>
      </c>
      <c r="B1283" s="41" t="s">
        <v>1253</v>
      </c>
      <c r="C1283" s="41" t="s">
        <v>1393</v>
      </c>
      <c r="D1283" s="20" t="s">
        <v>1403</v>
      </c>
      <c r="E1283" s="21" t="s">
        <v>17</v>
      </c>
      <c r="F1283" s="20" t="s">
        <v>18</v>
      </c>
      <c r="G1283" s="20" t="s">
        <v>19</v>
      </c>
      <c r="H1283" s="23">
        <v>45292</v>
      </c>
      <c r="I1283" s="19">
        <f>IF(F1283="是",VLOOKUP(G1283,[196]Sheet2!A:C,3,FALSE),VLOOKUP(G1283,[196]Sheet2!A:B,2,FALSE))</f>
        <v>600</v>
      </c>
      <c r="J1283" s="24" t="s">
        <v>20</v>
      </c>
      <c r="K1283" s="19"/>
    </row>
    <row r="1284" ht="31" customHeight="1" spans="1:11">
      <c r="A1284" s="19">
        <v>1280</v>
      </c>
      <c r="B1284" s="20" t="s">
        <v>1253</v>
      </c>
      <c r="C1284" s="20" t="s">
        <v>1393</v>
      </c>
      <c r="D1284" s="20" t="s">
        <v>1404</v>
      </c>
      <c r="E1284" s="21" t="s">
        <v>17</v>
      </c>
      <c r="F1284" s="20" t="s">
        <v>18</v>
      </c>
      <c r="G1284" s="20" t="s">
        <v>48</v>
      </c>
      <c r="H1284" s="23">
        <v>45323</v>
      </c>
      <c r="I1284" s="19">
        <f>IF(F1284="是",VLOOKUP(G1284,[197]Sheet2!A:C,3,FALSE),VLOOKUP(G1284,[197]Sheet2!A:B,2,FALSE))</f>
        <v>800</v>
      </c>
      <c r="J1284" s="24" t="s">
        <v>20</v>
      </c>
      <c r="K1284" s="19"/>
    </row>
    <row r="1285" ht="31" customHeight="1" spans="1:11">
      <c r="A1285" s="19">
        <v>1281</v>
      </c>
      <c r="B1285" s="20" t="s">
        <v>1253</v>
      </c>
      <c r="C1285" s="20" t="s">
        <v>1393</v>
      </c>
      <c r="D1285" s="20" t="s">
        <v>1405</v>
      </c>
      <c r="E1285" s="21" t="s">
        <v>17</v>
      </c>
      <c r="F1285" s="20" t="s">
        <v>18</v>
      </c>
      <c r="G1285" s="20" t="s">
        <v>29</v>
      </c>
      <c r="H1285" s="23">
        <v>45352</v>
      </c>
      <c r="I1285" s="19">
        <v>800</v>
      </c>
      <c r="J1285" s="24" t="s">
        <v>20</v>
      </c>
      <c r="K1285" s="19"/>
    </row>
    <row r="1286" ht="31" customHeight="1" spans="1:11">
      <c r="A1286" s="19">
        <v>1282</v>
      </c>
      <c r="B1286" s="20" t="s">
        <v>1253</v>
      </c>
      <c r="C1286" s="20" t="s">
        <v>1393</v>
      </c>
      <c r="D1286" s="20" t="s">
        <v>1406</v>
      </c>
      <c r="E1286" s="21" t="s">
        <v>17</v>
      </c>
      <c r="F1286" s="20" t="s">
        <v>18</v>
      </c>
      <c r="G1286" s="20" t="s">
        <v>19</v>
      </c>
      <c r="H1286" s="57">
        <v>45474</v>
      </c>
      <c r="I1286" s="19">
        <v>600</v>
      </c>
      <c r="J1286" s="24" t="s">
        <v>20</v>
      </c>
      <c r="K1286" s="19"/>
    </row>
    <row r="1287" ht="31" customHeight="1" spans="1:11">
      <c r="A1287" s="19">
        <v>1283</v>
      </c>
      <c r="B1287" s="20" t="s">
        <v>1253</v>
      </c>
      <c r="C1287" s="20" t="s">
        <v>1393</v>
      </c>
      <c r="D1287" s="20" t="s">
        <v>1407</v>
      </c>
      <c r="E1287" s="21" t="s">
        <v>17</v>
      </c>
      <c r="F1287" s="20" t="s">
        <v>18</v>
      </c>
      <c r="G1287" s="20" t="s">
        <v>19</v>
      </c>
      <c r="H1287" s="23">
        <v>45352</v>
      </c>
      <c r="I1287" s="19">
        <v>600</v>
      </c>
      <c r="J1287" s="24" t="s">
        <v>20</v>
      </c>
      <c r="K1287" s="19"/>
    </row>
    <row r="1288" ht="31" customHeight="1" spans="1:11">
      <c r="A1288" s="19">
        <v>1284</v>
      </c>
      <c r="B1288" s="20" t="s">
        <v>1253</v>
      </c>
      <c r="C1288" s="20" t="s">
        <v>1393</v>
      </c>
      <c r="D1288" s="20" t="s">
        <v>1408</v>
      </c>
      <c r="E1288" s="21" t="s">
        <v>17</v>
      </c>
      <c r="F1288" s="20" t="s">
        <v>18</v>
      </c>
      <c r="G1288" s="20" t="s">
        <v>19</v>
      </c>
      <c r="H1288" s="23">
        <v>45383</v>
      </c>
      <c r="I1288" s="19">
        <f>IF(F1288="是",VLOOKUP(G1288,[198]Sheet2!A:C,3,FALSE),VLOOKUP(G1288,[198]Sheet2!A:B,2,FALSE))</f>
        <v>600</v>
      </c>
      <c r="J1288" s="24" t="s">
        <v>20</v>
      </c>
      <c r="K1288" s="19"/>
    </row>
    <row r="1289" ht="31" customHeight="1" spans="1:11">
      <c r="A1289" s="19">
        <v>1285</v>
      </c>
      <c r="B1289" s="20" t="s">
        <v>1253</v>
      </c>
      <c r="C1289" s="20" t="s">
        <v>1393</v>
      </c>
      <c r="D1289" s="20" t="s">
        <v>1409</v>
      </c>
      <c r="E1289" s="21" t="s">
        <v>17</v>
      </c>
      <c r="F1289" s="20" t="s">
        <v>18</v>
      </c>
      <c r="G1289" s="20" t="s">
        <v>19</v>
      </c>
      <c r="H1289" s="23">
        <v>45323</v>
      </c>
      <c r="I1289" s="19">
        <v>600</v>
      </c>
      <c r="J1289" s="24" t="s">
        <v>20</v>
      </c>
      <c r="K1289" s="19"/>
    </row>
    <row r="1290" ht="31" customHeight="1" spans="1:11">
      <c r="A1290" s="19">
        <v>1286</v>
      </c>
      <c r="B1290" s="20" t="s">
        <v>1253</v>
      </c>
      <c r="C1290" s="20" t="s">
        <v>1393</v>
      </c>
      <c r="D1290" s="20" t="s">
        <v>1410</v>
      </c>
      <c r="E1290" s="21" t="s">
        <v>17</v>
      </c>
      <c r="F1290" s="20" t="s">
        <v>18</v>
      </c>
      <c r="G1290" s="20" t="s">
        <v>19</v>
      </c>
      <c r="H1290" s="57">
        <v>45474</v>
      </c>
      <c r="I1290" s="19">
        <f>IF(F1290="是",VLOOKUP(G1290,[199]Sheet2!A:C,3,FALSE),VLOOKUP(G1290,[199]Sheet2!A:B,2,FALSE))</f>
        <v>600</v>
      </c>
      <c r="J1290" s="24" t="s">
        <v>20</v>
      </c>
      <c r="K1290" s="19"/>
    </row>
    <row r="1291" ht="31" customHeight="1" spans="1:11">
      <c r="A1291" s="19">
        <v>1287</v>
      </c>
      <c r="B1291" s="20" t="s">
        <v>1253</v>
      </c>
      <c r="C1291" s="20" t="s">
        <v>1393</v>
      </c>
      <c r="D1291" s="20" t="s">
        <v>1411</v>
      </c>
      <c r="E1291" s="21" t="s">
        <v>17</v>
      </c>
      <c r="F1291" s="20" t="s">
        <v>18</v>
      </c>
      <c r="G1291" s="20" t="s">
        <v>19</v>
      </c>
      <c r="H1291" s="57">
        <v>45474</v>
      </c>
      <c r="I1291" s="19">
        <f>IF(F1291="是",VLOOKUP(G1291,[199]Sheet2!A:C,3,FALSE),VLOOKUP(G1291,[199]Sheet2!A:B,2,FALSE))</f>
        <v>600</v>
      </c>
      <c r="J1291" s="24" t="s">
        <v>20</v>
      </c>
      <c r="K1291" s="19"/>
    </row>
    <row r="1292" ht="31" customHeight="1" spans="1:11">
      <c r="A1292" s="19">
        <v>1288</v>
      </c>
      <c r="B1292" s="20" t="s">
        <v>1253</v>
      </c>
      <c r="C1292" s="20" t="s">
        <v>1393</v>
      </c>
      <c r="D1292" s="20" t="s">
        <v>1412</v>
      </c>
      <c r="E1292" s="21" t="s">
        <v>17</v>
      </c>
      <c r="F1292" s="20" t="s">
        <v>18</v>
      </c>
      <c r="G1292" s="20" t="s">
        <v>19</v>
      </c>
      <c r="H1292" s="57">
        <v>45474</v>
      </c>
      <c r="I1292" s="19">
        <f>IF(F1292="是",VLOOKUP(G1292,[199]Sheet2!A:C,3,FALSE),VLOOKUP(G1292,[199]Sheet2!A:B,2,FALSE))</f>
        <v>600</v>
      </c>
      <c r="J1292" s="24" t="s">
        <v>20</v>
      </c>
      <c r="K1292" s="19"/>
    </row>
    <row r="1293" ht="31" customHeight="1" spans="1:11">
      <c r="A1293" s="19">
        <v>1289</v>
      </c>
      <c r="B1293" s="20" t="s">
        <v>1253</v>
      </c>
      <c r="C1293" s="20" t="s">
        <v>1393</v>
      </c>
      <c r="D1293" s="20" t="s">
        <v>1413</v>
      </c>
      <c r="E1293" s="21" t="s">
        <v>17</v>
      </c>
      <c r="F1293" s="20" t="s">
        <v>18</v>
      </c>
      <c r="G1293" s="20" t="s">
        <v>19</v>
      </c>
      <c r="H1293" s="57">
        <v>45474</v>
      </c>
      <c r="I1293" s="19">
        <f>IF(F1293="是",VLOOKUP(G1293,[199]Sheet2!A:C,3,FALSE),VLOOKUP(G1293,[199]Sheet2!A:B,2,FALSE))</f>
        <v>600</v>
      </c>
      <c r="J1293" s="24" t="s">
        <v>20</v>
      </c>
      <c r="K1293" s="19"/>
    </row>
    <row r="1294" ht="31" customHeight="1" spans="1:11">
      <c r="A1294" s="19">
        <v>1290</v>
      </c>
      <c r="B1294" s="20" t="s">
        <v>1253</v>
      </c>
      <c r="C1294" s="20" t="s">
        <v>1393</v>
      </c>
      <c r="D1294" s="20" t="s">
        <v>1414</v>
      </c>
      <c r="E1294" s="21" t="s">
        <v>17</v>
      </c>
      <c r="F1294" s="20" t="s">
        <v>18</v>
      </c>
      <c r="G1294" s="20" t="s">
        <v>55</v>
      </c>
      <c r="H1294" s="57">
        <v>45474</v>
      </c>
      <c r="I1294" s="19">
        <v>800</v>
      </c>
      <c r="J1294" s="24" t="s">
        <v>20</v>
      </c>
      <c r="K1294" s="19"/>
    </row>
    <row r="1295" ht="31" customHeight="1" spans="1:11">
      <c r="A1295" s="19">
        <v>1291</v>
      </c>
      <c r="B1295" s="20" t="s">
        <v>1253</v>
      </c>
      <c r="C1295" s="20" t="s">
        <v>1393</v>
      </c>
      <c r="D1295" s="20" t="s">
        <v>1415</v>
      </c>
      <c r="E1295" s="21" t="s">
        <v>17</v>
      </c>
      <c r="F1295" s="20" t="s">
        <v>18</v>
      </c>
      <c r="G1295" s="20" t="s">
        <v>19</v>
      </c>
      <c r="H1295" s="57">
        <v>45474</v>
      </c>
      <c r="I1295" s="19">
        <v>600</v>
      </c>
      <c r="J1295" s="24" t="s">
        <v>20</v>
      </c>
      <c r="K1295" s="19"/>
    </row>
    <row r="1296" ht="31" customHeight="1" spans="1:11">
      <c r="A1296" s="19">
        <v>1292</v>
      </c>
      <c r="B1296" s="20" t="s">
        <v>1253</v>
      </c>
      <c r="C1296" s="20" t="s">
        <v>1393</v>
      </c>
      <c r="D1296" s="20" t="s">
        <v>1416</v>
      </c>
      <c r="E1296" s="21" t="s">
        <v>17</v>
      </c>
      <c r="F1296" s="20" t="s">
        <v>18</v>
      </c>
      <c r="G1296" s="20" t="s">
        <v>19</v>
      </c>
      <c r="H1296" s="57">
        <v>45474</v>
      </c>
      <c r="I1296" s="19">
        <v>600</v>
      </c>
      <c r="J1296" s="24" t="s">
        <v>20</v>
      </c>
      <c r="K1296" s="19"/>
    </row>
    <row r="1297" ht="31" customHeight="1" spans="1:11">
      <c r="A1297" s="19">
        <v>1293</v>
      </c>
      <c r="B1297" s="20" t="s">
        <v>1253</v>
      </c>
      <c r="C1297" s="20" t="s">
        <v>1393</v>
      </c>
      <c r="D1297" s="20" t="s">
        <v>1417</v>
      </c>
      <c r="E1297" s="21" t="s">
        <v>17</v>
      </c>
      <c r="F1297" s="20" t="s">
        <v>18</v>
      </c>
      <c r="G1297" s="20" t="s">
        <v>19</v>
      </c>
      <c r="H1297" s="57">
        <v>45371</v>
      </c>
      <c r="I1297" s="19">
        <v>600</v>
      </c>
      <c r="J1297" s="24" t="s">
        <v>20</v>
      </c>
      <c r="K1297" s="19"/>
    </row>
    <row r="1298" ht="31" customHeight="1" spans="1:11">
      <c r="A1298" s="19">
        <v>1294</v>
      </c>
      <c r="B1298" s="20" t="s">
        <v>1253</v>
      </c>
      <c r="C1298" s="20" t="s">
        <v>1393</v>
      </c>
      <c r="D1298" s="20" t="s">
        <v>1418</v>
      </c>
      <c r="E1298" s="21" t="s">
        <v>17</v>
      </c>
      <c r="F1298" s="20" t="s">
        <v>18</v>
      </c>
      <c r="G1298" s="20" t="s">
        <v>98</v>
      </c>
      <c r="H1298" s="57">
        <v>45435</v>
      </c>
      <c r="I1298" s="19">
        <v>800</v>
      </c>
      <c r="J1298" s="24" t="s">
        <v>20</v>
      </c>
      <c r="K1298" s="19"/>
    </row>
    <row r="1299" ht="31" customHeight="1" spans="1:11">
      <c r="A1299" s="19">
        <v>1295</v>
      </c>
      <c r="B1299" s="20" t="s">
        <v>1253</v>
      </c>
      <c r="C1299" s="20" t="s">
        <v>1393</v>
      </c>
      <c r="D1299" s="20" t="s">
        <v>1419</v>
      </c>
      <c r="E1299" s="21" t="s">
        <v>17</v>
      </c>
      <c r="F1299" s="20" t="s">
        <v>18</v>
      </c>
      <c r="G1299" s="20" t="s">
        <v>19</v>
      </c>
      <c r="H1299" s="57">
        <v>45435</v>
      </c>
      <c r="I1299" s="19">
        <v>600</v>
      </c>
      <c r="J1299" s="24" t="s">
        <v>20</v>
      </c>
      <c r="K1299" s="19"/>
    </row>
    <row r="1300" ht="31" customHeight="1" spans="1:11">
      <c r="A1300" s="19">
        <v>1296</v>
      </c>
      <c r="B1300" s="20" t="s">
        <v>1253</v>
      </c>
      <c r="C1300" s="20" t="s">
        <v>1420</v>
      </c>
      <c r="D1300" s="20" t="s">
        <v>1421</v>
      </c>
      <c r="E1300" s="21" t="s">
        <v>17</v>
      </c>
      <c r="F1300" s="20" t="s">
        <v>18</v>
      </c>
      <c r="G1300" s="20" t="s">
        <v>19</v>
      </c>
      <c r="H1300" s="57">
        <v>45323</v>
      </c>
      <c r="I1300" s="19">
        <v>600</v>
      </c>
      <c r="J1300" s="24" t="s">
        <v>20</v>
      </c>
      <c r="K1300" s="19"/>
    </row>
    <row r="1301" ht="31" customHeight="1" spans="1:11">
      <c r="A1301" s="19">
        <v>1297</v>
      </c>
      <c r="B1301" s="20" t="s">
        <v>1253</v>
      </c>
      <c r="C1301" s="20" t="s">
        <v>1420</v>
      </c>
      <c r="D1301" s="20" t="s">
        <v>1422</v>
      </c>
      <c r="E1301" s="21" t="s">
        <v>17</v>
      </c>
      <c r="F1301" s="20" t="s">
        <v>18</v>
      </c>
      <c r="G1301" s="20" t="s">
        <v>19</v>
      </c>
      <c r="H1301" s="57">
        <v>45352</v>
      </c>
      <c r="I1301" s="19">
        <v>600</v>
      </c>
      <c r="J1301" s="24" t="s">
        <v>20</v>
      </c>
      <c r="K1301" s="19"/>
    </row>
    <row r="1302" ht="31" customHeight="1" spans="1:11">
      <c r="A1302" s="19">
        <v>1298</v>
      </c>
      <c r="B1302" s="20" t="s">
        <v>1253</v>
      </c>
      <c r="C1302" s="20" t="s">
        <v>1420</v>
      </c>
      <c r="D1302" s="20" t="s">
        <v>1423</v>
      </c>
      <c r="E1302" s="21" t="s">
        <v>17</v>
      </c>
      <c r="F1302" s="20" t="s">
        <v>18</v>
      </c>
      <c r="G1302" s="20" t="s">
        <v>19</v>
      </c>
      <c r="H1302" s="57">
        <v>45352</v>
      </c>
      <c r="I1302" s="19">
        <v>600</v>
      </c>
      <c r="J1302" s="24" t="s">
        <v>20</v>
      </c>
      <c r="K1302" s="19"/>
    </row>
    <row r="1303" ht="31" customHeight="1" spans="1:11">
      <c r="A1303" s="19">
        <v>1299</v>
      </c>
      <c r="B1303" s="20" t="s">
        <v>1253</v>
      </c>
      <c r="C1303" s="20" t="s">
        <v>1420</v>
      </c>
      <c r="D1303" s="20" t="s">
        <v>1424</v>
      </c>
      <c r="E1303" s="21" t="s">
        <v>17</v>
      </c>
      <c r="F1303" s="20" t="s">
        <v>18</v>
      </c>
      <c r="G1303" s="20" t="s">
        <v>19</v>
      </c>
      <c r="H1303" s="57">
        <v>45505</v>
      </c>
      <c r="I1303" s="19">
        <v>600</v>
      </c>
      <c r="J1303" s="24" t="s">
        <v>20</v>
      </c>
      <c r="K1303" s="19"/>
    </row>
    <row r="1304" ht="31" customHeight="1" spans="1:11">
      <c r="A1304" s="19">
        <v>1300</v>
      </c>
      <c r="B1304" s="20" t="s">
        <v>1253</v>
      </c>
      <c r="C1304" s="20" t="s">
        <v>1420</v>
      </c>
      <c r="D1304" s="20" t="s">
        <v>1425</v>
      </c>
      <c r="E1304" s="21" t="s">
        <v>17</v>
      </c>
      <c r="F1304" s="20" t="s">
        <v>18</v>
      </c>
      <c r="G1304" s="20" t="s">
        <v>19</v>
      </c>
      <c r="H1304" s="57">
        <v>45343</v>
      </c>
      <c r="I1304" s="19">
        <v>600</v>
      </c>
      <c r="J1304" s="24" t="s">
        <v>20</v>
      </c>
      <c r="K1304" s="19"/>
    </row>
    <row r="1305" ht="31" customHeight="1" spans="1:11">
      <c r="A1305" s="19">
        <v>1301</v>
      </c>
      <c r="B1305" s="20" t="s">
        <v>1253</v>
      </c>
      <c r="C1305" s="20" t="s">
        <v>1420</v>
      </c>
      <c r="D1305" s="20" t="s">
        <v>1426</v>
      </c>
      <c r="E1305" s="21" t="s">
        <v>17</v>
      </c>
      <c r="F1305" s="20" t="s">
        <v>18</v>
      </c>
      <c r="G1305" s="20" t="s">
        <v>19</v>
      </c>
      <c r="H1305" s="57">
        <v>45343</v>
      </c>
      <c r="I1305" s="19">
        <v>600</v>
      </c>
      <c r="J1305" s="24" t="s">
        <v>20</v>
      </c>
      <c r="K1305" s="19"/>
    </row>
    <row r="1306" ht="31" customHeight="1" spans="1:11">
      <c r="A1306" s="19">
        <v>1302</v>
      </c>
      <c r="B1306" s="20" t="s">
        <v>1253</v>
      </c>
      <c r="C1306" s="20" t="s">
        <v>1420</v>
      </c>
      <c r="D1306" s="20" t="s">
        <v>1427</v>
      </c>
      <c r="E1306" s="21" t="s">
        <v>17</v>
      </c>
      <c r="F1306" s="20" t="s">
        <v>18</v>
      </c>
      <c r="G1306" s="20" t="s">
        <v>19</v>
      </c>
      <c r="H1306" s="57">
        <v>45337</v>
      </c>
      <c r="I1306" s="19">
        <v>600</v>
      </c>
      <c r="J1306" s="24" t="s">
        <v>20</v>
      </c>
      <c r="K1306" s="19"/>
    </row>
    <row r="1307" ht="31" customHeight="1" spans="1:11">
      <c r="A1307" s="19">
        <v>1303</v>
      </c>
      <c r="B1307" s="20" t="s">
        <v>1253</v>
      </c>
      <c r="C1307" s="20" t="s">
        <v>1420</v>
      </c>
      <c r="D1307" s="20" t="s">
        <v>1428</v>
      </c>
      <c r="E1307" s="21" t="s">
        <v>17</v>
      </c>
      <c r="F1307" s="20" t="s">
        <v>18</v>
      </c>
      <c r="G1307" s="20" t="s">
        <v>32</v>
      </c>
      <c r="H1307" s="57">
        <v>45383</v>
      </c>
      <c r="I1307" s="19">
        <v>800</v>
      </c>
      <c r="J1307" s="24" t="s">
        <v>20</v>
      </c>
      <c r="K1307" s="19"/>
    </row>
    <row r="1308" ht="31" customHeight="1" spans="1:11">
      <c r="A1308" s="19">
        <v>1304</v>
      </c>
      <c r="B1308" s="20" t="s">
        <v>1253</v>
      </c>
      <c r="C1308" s="20" t="s">
        <v>1420</v>
      </c>
      <c r="D1308" s="20" t="s">
        <v>1429</v>
      </c>
      <c r="E1308" s="21" t="s">
        <v>17</v>
      </c>
      <c r="F1308" s="20" t="s">
        <v>18</v>
      </c>
      <c r="G1308" s="20" t="s">
        <v>19</v>
      </c>
      <c r="H1308" s="57">
        <v>45352</v>
      </c>
      <c r="I1308" s="19">
        <v>600</v>
      </c>
      <c r="J1308" s="24" t="s">
        <v>20</v>
      </c>
      <c r="K1308" s="19"/>
    </row>
    <row r="1309" ht="31" customHeight="1" spans="1:11">
      <c r="A1309" s="19">
        <v>1305</v>
      </c>
      <c r="B1309" s="20" t="s">
        <v>1253</v>
      </c>
      <c r="C1309" s="20" t="s">
        <v>1420</v>
      </c>
      <c r="D1309" s="20" t="s">
        <v>1430</v>
      </c>
      <c r="E1309" s="21" t="s">
        <v>17</v>
      </c>
      <c r="F1309" s="19" t="s">
        <v>18</v>
      </c>
      <c r="G1309" s="19" t="s">
        <v>301</v>
      </c>
      <c r="H1309" s="57">
        <v>45292</v>
      </c>
      <c r="I1309" s="19">
        <v>800</v>
      </c>
      <c r="J1309" s="24" t="s">
        <v>20</v>
      </c>
      <c r="K1309" s="19"/>
    </row>
    <row r="1310" ht="31" customHeight="1" spans="1:11">
      <c r="A1310" s="19">
        <v>1306</v>
      </c>
      <c r="B1310" s="19" t="s">
        <v>1253</v>
      </c>
      <c r="C1310" s="20" t="s">
        <v>1431</v>
      </c>
      <c r="D1310" s="20" t="s">
        <v>1432</v>
      </c>
      <c r="E1310" s="31" t="s">
        <v>17</v>
      </c>
      <c r="F1310" s="19" t="s">
        <v>18</v>
      </c>
      <c r="G1310" s="19" t="s">
        <v>48</v>
      </c>
      <c r="H1310" s="57">
        <v>45344</v>
      </c>
      <c r="I1310" s="19">
        <f>IF(F1310="是",VLOOKUP(G1310,[201]Sheet2!A:C,3,FALSE),VLOOKUP(G1310,[201]Sheet2!A:B,2,FALSE))</f>
        <v>800</v>
      </c>
      <c r="J1310" s="24" t="s">
        <v>20</v>
      </c>
      <c r="K1310" s="19"/>
    </row>
    <row r="1311" ht="31" customHeight="1" spans="1:11">
      <c r="A1311" s="19">
        <v>1307</v>
      </c>
      <c r="B1311" s="19" t="s">
        <v>1253</v>
      </c>
      <c r="C1311" s="19" t="s">
        <v>1431</v>
      </c>
      <c r="D1311" s="20" t="s">
        <v>1433</v>
      </c>
      <c r="E1311" s="31" t="s">
        <v>17</v>
      </c>
      <c r="F1311" s="19" t="s">
        <v>18</v>
      </c>
      <c r="G1311" s="19" t="s">
        <v>48</v>
      </c>
      <c r="H1311" s="57">
        <v>45344</v>
      </c>
      <c r="I1311" s="19">
        <f>IF(F1311="是",VLOOKUP(G1311,[201]Sheet2!A:C,3,FALSE),VLOOKUP(G1311,[201]Sheet2!A:B,2,FALSE))</f>
        <v>800</v>
      </c>
      <c r="J1311" s="24" t="s">
        <v>20</v>
      </c>
      <c r="K1311" s="19"/>
    </row>
    <row r="1312" ht="31" customHeight="1" spans="1:11">
      <c r="A1312" s="19">
        <v>1308</v>
      </c>
      <c r="B1312" s="19" t="s">
        <v>1253</v>
      </c>
      <c r="C1312" s="19" t="s">
        <v>1431</v>
      </c>
      <c r="D1312" s="20" t="s">
        <v>1434</v>
      </c>
      <c r="E1312" s="31" t="s">
        <v>17</v>
      </c>
      <c r="F1312" s="19" t="s">
        <v>18</v>
      </c>
      <c r="G1312" s="19" t="s">
        <v>19</v>
      </c>
      <c r="H1312" s="57">
        <v>45367</v>
      </c>
      <c r="I1312" s="19">
        <f>IF(F1312="是",VLOOKUP(G1312,[201]Sheet2!A:C,3,FALSE),VLOOKUP(G1312,[201]Sheet2!A:B,2,FALSE))</f>
        <v>600</v>
      </c>
      <c r="J1312" s="24" t="s">
        <v>20</v>
      </c>
      <c r="K1312" s="19"/>
    </row>
    <row r="1313" ht="31" customHeight="1" spans="1:11">
      <c r="A1313" s="19">
        <v>1309</v>
      </c>
      <c r="B1313" s="19" t="s">
        <v>1253</v>
      </c>
      <c r="C1313" s="19" t="s">
        <v>1431</v>
      </c>
      <c r="D1313" s="20" t="s">
        <v>1435</v>
      </c>
      <c r="E1313" s="31" t="s">
        <v>17</v>
      </c>
      <c r="F1313" s="19" t="s">
        <v>18</v>
      </c>
      <c r="G1313" s="19" t="s">
        <v>19</v>
      </c>
      <c r="H1313" s="57">
        <v>45474</v>
      </c>
      <c r="I1313" s="19">
        <f>IF(F1313="是",VLOOKUP(G1313,[201]Sheet2!A:C,3,FALSE),VLOOKUP(G1313,[201]Sheet2!A:B,2,FALSE))</f>
        <v>600</v>
      </c>
      <c r="J1313" s="24" t="s">
        <v>20</v>
      </c>
      <c r="K1313" s="19"/>
    </row>
    <row r="1314" ht="31" customHeight="1" spans="1:11">
      <c r="A1314" s="19">
        <v>1310</v>
      </c>
      <c r="B1314" s="19" t="s">
        <v>1253</v>
      </c>
      <c r="C1314" s="19" t="s">
        <v>1431</v>
      </c>
      <c r="D1314" s="20" t="s">
        <v>1436</v>
      </c>
      <c r="E1314" s="31" t="s">
        <v>17</v>
      </c>
      <c r="F1314" s="19" t="s">
        <v>18</v>
      </c>
      <c r="G1314" s="19" t="s">
        <v>19</v>
      </c>
      <c r="H1314" s="57">
        <v>45376</v>
      </c>
      <c r="I1314" s="19">
        <f>IF(F1314="是",VLOOKUP(G1314,[201]Sheet2!A:C,3,FALSE),VLOOKUP(G1314,[201]Sheet2!A:B,2,FALSE))</f>
        <v>600</v>
      </c>
      <c r="J1314" s="24" t="s">
        <v>20</v>
      </c>
      <c r="K1314" s="19"/>
    </row>
    <row r="1315" ht="31" customHeight="1" spans="1:11">
      <c r="A1315" s="19">
        <v>1311</v>
      </c>
      <c r="B1315" s="19" t="s">
        <v>1253</v>
      </c>
      <c r="C1315" s="19" t="s">
        <v>1431</v>
      </c>
      <c r="D1315" s="20" t="s">
        <v>1437</v>
      </c>
      <c r="E1315" s="31" t="s">
        <v>17</v>
      </c>
      <c r="F1315" s="19" t="s">
        <v>18</v>
      </c>
      <c r="G1315" s="19" t="s">
        <v>19</v>
      </c>
      <c r="H1315" s="57">
        <v>45338</v>
      </c>
      <c r="I1315" s="19">
        <f>IF(F1315="是",VLOOKUP(G1315,[201]Sheet2!A:C,3,FALSE),VLOOKUP(G1315,[201]Sheet2!A:B,2,FALSE))</f>
        <v>600</v>
      </c>
      <c r="J1315" s="24" t="s">
        <v>20</v>
      </c>
      <c r="K1315" s="19"/>
    </row>
    <row r="1316" ht="31" customHeight="1" spans="1:11">
      <c r="A1316" s="19">
        <v>1312</v>
      </c>
      <c r="B1316" s="19" t="s">
        <v>1253</v>
      </c>
      <c r="C1316" s="19" t="s">
        <v>1431</v>
      </c>
      <c r="D1316" s="20" t="s">
        <v>1438</v>
      </c>
      <c r="E1316" s="31" t="s">
        <v>17</v>
      </c>
      <c r="F1316" s="19" t="s">
        <v>18</v>
      </c>
      <c r="G1316" s="19" t="s">
        <v>19</v>
      </c>
      <c r="H1316" s="57">
        <v>45338</v>
      </c>
      <c r="I1316" s="19">
        <f>IF(F1316="是",VLOOKUP(G1316,[201]Sheet2!A:C,3,FALSE),VLOOKUP(G1316,[201]Sheet2!A:B,2,FALSE))</f>
        <v>600</v>
      </c>
      <c r="J1316" s="24" t="s">
        <v>20</v>
      </c>
      <c r="K1316" s="19"/>
    </row>
    <row r="1317" ht="31" customHeight="1" spans="1:11">
      <c r="A1317" s="19">
        <v>1313</v>
      </c>
      <c r="B1317" s="19" t="s">
        <v>1253</v>
      </c>
      <c r="C1317" s="19" t="s">
        <v>1431</v>
      </c>
      <c r="D1317" s="20" t="s">
        <v>1439</v>
      </c>
      <c r="E1317" s="31" t="s">
        <v>17</v>
      </c>
      <c r="F1317" s="19" t="s">
        <v>18</v>
      </c>
      <c r="G1317" s="19" t="s">
        <v>19</v>
      </c>
      <c r="H1317" s="57">
        <v>45423</v>
      </c>
      <c r="I1317" s="19">
        <f>IF(F1317="是",VLOOKUP(G1317,[201]Sheet2!A:C,3,FALSE),VLOOKUP(G1317,[201]Sheet2!A:B,2,FALSE))</f>
        <v>600</v>
      </c>
      <c r="J1317" s="24" t="s">
        <v>20</v>
      </c>
      <c r="K1317" s="19"/>
    </row>
    <row r="1318" ht="31" customHeight="1" spans="1:11">
      <c r="A1318" s="19">
        <v>1314</v>
      </c>
      <c r="B1318" s="19" t="s">
        <v>1253</v>
      </c>
      <c r="C1318" s="19" t="s">
        <v>1431</v>
      </c>
      <c r="D1318" s="20" t="s">
        <v>1440</v>
      </c>
      <c r="E1318" s="31" t="s">
        <v>17</v>
      </c>
      <c r="F1318" s="19" t="s">
        <v>18</v>
      </c>
      <c r="G1318" s="19" t="s">
        <v>19</v>
      </c>
      <c r="H1318" s="57">
        <v>45473</v>
      </c>
      <c r="I1318" s="19">
        <f>IF(F1318="是",VLOOKUP(G1318,[201]Sheet2!A:C,3,FALSE),VLOOKUP(G1318,[201]Sheet2!A:B,2,FALSE))</f>
        <v>600</v>
      </c>
      <c r="J1318" s="24" t="s">
        <v>20</v>
      </c>
      <c r="K1318" s="19"/>
    </row>
    <row r="1319" ht="31" customHeight="1" spans="1:11">
      <c r="A1319" s="19">
        <v>1315</v>
      </c>
      <c r="B1319" s="19" t="s">
        <v>1253</v>
      </c>
      <c r="C1319" s="19" t="s">
        <v>1431</v>
      </c>
      <c r="D1319" s="41" t="s">
        <v>1441</v>
      </c>
      <c r="E1319" s="31" t="s">
        <v>17</v>
      </c>
      <c r="F1319" s="19" t="s">
        <v>18</v>
      </c>
      <c r="G1319" s="19" t="s">
        <v>19</v>
      </c>
      <c r="H1319" s="57">
        <v>45339</v>
      </c>
      <c r="I1319" s="19">
        <f>IF(F1319="是",VLOOKUP(G1319,[201]Sheet2!A:C,3,FALSE),VLOOKUP(G1319,[201]Sheet2!A:B,2,FALSE))</f>
        <v>600</v>
      </c>
      <c r="J1319" s="24" t="s">
        <v>20</v>
      </c>
      <c r="K1319" s="19"/>
    </row>
    <row r="1320" ht="31" customHeight="1" spans="1:11">
      <c r="A1320" s="19">
        <v>1316</v>
      </c>
      <c r="B1320" s="19" t="s">
        <v>1253</v>
      </c>
      <c r="C1320" s="19" t="s">
        <v>1431</v>
      </c>
      <c r="D1320" s="41" t="s">
        <v>1442</v>
      </c>
      <c r="E1320" s="31" t="s">
        <v>17</v>
      </c>
      <c r="F1320" s="19" t="s">
        <v>18</v>
      </c>
      <c r="G1320" s="19" t="s">
        <v>19</v>
      </c>
      <c r="H1320" s="57">
        <v>45474</v>
      </c>
      <c r="I1320" s="19">
        <f>IF(F1320="是",VLOOKUP(G1320,[201]Sheet2!A:C,3,FALSE),VLOOKUP(G1320,[201]Sheet2!A:B,2,FALSE))</f>
        <v>600</v>
      </c>
      <c r="J1320" s="24" t="s">
        <v>20</v>
      </c>
      <c r="K1320" s="19"/>
    </row>
    <row r="1321" ht="31" customHeight="1" spans="1:11">
      <c r="A1321" s="19">
        <v>1317</v>
      </c>
      <c r="B1321" s="19" t="s">
        <v>1253</v>
      </c>
      <c r="C1321" s="19" t="s">
        <v>1431</v>
      </c>
      <c r="D1321" s="41" t="s">
        <v>1443</v>
      </c>
      <c r="E1321" s="31" t="s">
        <v>17</v>
      </c>
      <c r="F1321" s="19" t="s">
        <v>18</v>
      </c>
      <c r="G1321" s="19" t="s">
        <v>19</v>
      </c>
      <c r="H1321" s="57">
        <v>45339</v>
      </c>
      <c r="I1321" s="19">
        <f>IF(F1321="是",VLOOKUP(G1321,[201]Sheet2!A:C,3,FALSE),VLOOKUP(G1321,[201]Sheet2!A:B,2,FALSE))</f>
        <v>600</v>
      </c>
      <c r="J1321" s="24" t="s">
        <v>20</v>
      </c>
      <c r="K1321" s="19"/>
    </row>
    <row r="1322" ht="31" customHeight="1" spans="1:11">
      <c r="A1322" s="19">
        <v>1318</v>
      </c>
      <c r="B1322" s="19" t="s">
        <v>1253</v>
      </c>
      <c r="C1322" s="19" t="s">
        <v>1431</v>
      </c>
      <c r="D1322" s="41" t="s">
        <v>1444</v>
      </c>
      <c r="E1322" s="31" t="s">
        <v>17</v>
      </c>
      <c r="F1322" s="19" t="s">
        <v>18</v>
      </c>
      <c r="G1322" s="19" t="s">
        <v>1445</v>
      </c>
      <c r="H1322" s="57">
        <v>45460</v>
      </c>
      <c r="I1322" s="19">
        <f>IF(F1322="是",VLOOKUP(G1322,[201]Sheet2!A:C,3,FALSE),VLOOKUP(G1322,[201]Sheet2!A:B,2,FALSE))</f>
        <v>800</v>
      </c>
      <c r="J1322" s="24" t="s">
        <v>20</v>
      </c>
      <c r="K1322" s="19"/>
    </row>
    <row r="1323" ht="31" customHeight="1" spans="1:11">
      <c r="A1323" s="19">
        <v>1319</v>
      </c>
      <c r="B1323" s="19" t="s">
        <v>1253</v>
      </c>
      <c r="C1323" s="19" t="s">
        <v>1431</v>
      </c>
      <c r="D1323" s="41" t="s">
        <v>1446</v>
      </c>
      <c r="E1323" s="31" t="s">
        <v>17</v>
      </c>
      <c r="F1323" s="19" t="s">
        <v>18</v>
      </c>
      <c r="G1323" s="19" t="s">
        <v>19</v>
      </c>
      <c r="H1323" s="57">
        <v>45332</v>
      </c>
      <c r="I1323" s="19">
        <f>IF(F1323="是",VLOOKUP(G1323,[201]Sheet2!A:C,3,FALSE),VLOOKUP(G1323,[201]Sheet2!A:B,2,FALSE))</f>
        <v>600</v>
      </c>
      <c r="J1323" s="24" t="s">
        <v>20</v>
      </c>
      <c r="K1323" s="19"/>
    </row>
    <row r="1324" ht="31" customHeight="1" spans="1:11">
      <c r="A1324" s="19">
        <v>1320</v>
      </c>
      <c r="B1324" s="47" t="s">
        <v>1253</v>
      </c>
      <c r="C1324" s="47" t="s">
        <v>1447</v>
      </c>
      <c r="D1324" s="51" t="s">
        <v>1448</v>
      </c>
      <c r="E1324" s="46" t="s">
        <v>17</v>
      </c>
      <c r="F1324" s="47" t="s">
        <v>18</v>
      </c>
      <c r="G1324" s="51" t="s">
        <v>19</v>
      </c>
      <c r="H1324" s="57">
        <v>45323</v>
      </c>
      <c r="I1324" s="19">
        <f>IF(F1324="是",VLOOKUP(G1324,[220]Sheet2!A:C,3,FALSE),VLOOKUP(G1324,[220]Sheet2!A:B,2,FALSE))</f>
        <v>600</v>
      </c>
      <c r="J1324" s="24" t="s">
        <v>20</v>
      </c>
      <c r="K1324" s="19"/>
    </row>
    <row r="1325" ht="31" customHeight="1" spans="1:11">
      <c r="A1325" s="19">
        <v>1321</v>
      </c>
      <c r="B1325" s="47" t="s">
        <v>1253</v>
      </c>
      <c r="C1325" s="47" t="s">
        <v>1447</v>
      </c>
      <c r="D1325" s="51" t="s">
        <v>1449</v>
      </c>
      <c r="E1325" s="46" t="s">
        <v>17</v>
      </c>
      <c r="F1325" s="47" t="s">
        <v>18</v>
      </c>
      <c r="G1325" s="51" t="s">
        <v>19</v>
      </c>
      <c r="H1325" s="57">
        <v>45323</v>
      </c>
      <c r="I1325" s="19">
        <f>IF(F1325="是",VLOOKUP(G1325,[220]Sheet2!A:C,3,FALSE),VLOOKUP(G1325,[220]Sheet2!A:B,2,FALSE))</f>
        <v>600</v>
      </c>
      <c r="J1325" s="24" t="s">
        <v>20</v>
      </c>
      <c r="K1325" s="19"/>
    </row>
    <row r="1326" ht="31" customHeight="1" spans="1:11">
      <c r="A1326" s="19">
        <v>1322</v>
      </c>
      <c r="B1326" s="47" t="s">
        <v>1253</v>
      </c>
      <c r="C1326" s="47" t="s">
        <v>1447</v>
      </c>
      <c r="D1326" s="51" t="s">
        <v>1450</v>
      </c>
      <c r="E1326" s="46" t="s">
        <v>17</v>
      </c>
      <c r="F1326" s="47" t="s">
        <v>18</v>
      </c>
      <c r="G1326" s="51" t="s">
        <v>19</v>
      </c>
      <c r="H1326" s="57">
        <v>45323</v>
      </c>
      <c r="I1326" s="19">
        <f>IF(F1326="是",VLOOKUP(G1326,[220]Sheet2!A:C,3,FALSE),VLOOKUP(G1326,[220]Sheet2!A:B,2,FALSE))</f>
        <v>600</v>
      </c>
      <c r="J1326" s="24" t="s">
        <v>20</v>
      </c>
      <c r="K1326" s="19"/>
    </row>
    <row r="1327" ht="31" customHeight="1" spans="1:11">
      <c r="A1327" s="19">
        <v>1323</v>
      </c>
      <c r="B1327" s="47" t="s">
        <v>1253</v>
      </c>
      <c r="C1327" s="47" t="s">
        <v>1447</v>
      </c>
      <c r="D1327" s="51" t="s">
        <v>1451</v>
      </c>
      <c r="E1327" s="46" t="s">
        <v>17</v>
      </c>
      <c r="F1327" s="47" t="s">
        <v>18</v>
      </c>
      <c r="G1327" s="51" t="s">
        <v>19</v>
      </c>
      <c r="H1327" s="57">
        <v>45323</v>
      </c>
      <c r="I1327" s="19">
        <f>IF(F1327="是",VLOOKUP(G1327,[220]Sheet2!A:C,3,FALSE),VLOOKUP(G1327,[220]Sheet2!A:B,2,FALSE))</f>
        <v>600</v>
      </c>
      <c r="J1327" s="24" t="s">
        <v>20</v>
      </c>
      <c r="K1327" s="19"/>
    </row>
    <row r="1328" ht="31" customHeight="1" spans="1:11">
      <c r="A1328" s="19">
        <v>1324</v>
      </c>
      <c r="B1328" s="47" t="s">
        <v>1253</v>
      </c>
      <c r="C1328" s="47" t="s">
        <v>1447</v>
      </c>
      <c r="D1328" s="51" t="s">
        <v>1452</v>
      </c>
      <c r="E1328" s="46" t="s">
        <v>17</v>
      </c>
      <c r="F1328" s="47" t="s">
        <v>18</v>
      </c>
      <c r="G1328" s="51" t="s">
        <v>19</v>
      </c>
      <c r="H1328" s="57">
        <v>45474</v>
      </c>
      <c r="I1328" s="19">
        <f>IF(F1328="是",VLOOKUP(G1328,[220]Sheet2!A:C,3,FALSE),VLOOKUP(G1328,[220]Sheet2!A:B,2,FALSE))</f>
        <v>600</v>
      </c>
      <c r="J1328" s="24" t="s">
        <v>20</v>
      </c>
      <c r="K1328" s="19"/>
    </row>
    <row r="1329" ht="31" customHeight="1" spans="1:11">
      <c r="A1329" s="19">
        <v>1325</v>
      </c>
      <c r="B1329" s="47" t="s">
        <v>1253</v>
      </c>
      <c r="C1329" s="47" t="s">
        <v>1447</v>
      </c>
      <c r="D1329" s="51" t="s">
        <v>1453</v>
      </c>
      <c r="E1329" s="46" t="s">
        <v>17</v>
      </c>
      <c r="F1329" s="47" t="s">
        <v>18</v>
      </c>
      <c r="G1329" s="47" t="s">
        <v>19</v>
      </c>
      <c r="H1329" s="57">
        <v>45292</v>
      </c>
      <c r="I1329" s="19">
        <f>IF(F1329="是",VLOOKUP(G1329,[220]Sheet2!A:C,3,FALSE),VLOOKUP(G1329,[220]Sheet2!A:B,2,FALSE))</f>
        <v>600</v>
      </c>
      <c r="J1329" s="24" t="s">
        <v>20</v>
      </c>
      <c r="K1329" s="19"/>
    </row>
    <row r="1330" ht="31" customHeight="1" spans="1:11">
      <c r="A1330" s="19">
        <v>1326</v>
      </c>
      <c r="B1330" s="47" t="s">
        <v>1253</v>
      </c>
      <c r="C1330" s="47" t="s">
        <v>1447</v>
      </c>
      <c r="D1330" s="51" t="s">
        <v>1454</v>
      </c>
      <c r="E1330" s="46" t="s">
        <v>17</v>
      </c>
      <c r="F1330" s="47" t="s">
        <v>18</v>
      </c>
      <c r="G1330" s="47" t="s">
        <v>19</v>
      </c>
      <c r="H1330" s="57">
        <v>45323</v>
      </c>
      <c r="I1330" s="19">
        <f>IF(F1330="是",VLOOKUP(G1330,[220]Sheet2!A:C,3,FALSE),VLOOKUP(G1330,[220]Sheet2!A:B,2,FALSE))</f>
        <v>600</v>
      </c>
      <c r="J1330" s="24" t="s">
        <v>20</v>
      </c>
      <c r="K1330" s="19"/>
    </row>
    <row r="1331" ht="31" customHeight="1" spans="1:11">
      <c r="A1331" s="19">
        <v>1327</v>
      </c>
      <c r="B1331" s="47" t="s">
        <v>1253</v>
      </c>
      <c r="C1331" s="47" t="s">
        <v>1447</v>
      </c>
      <c r="D1331" s="51" t="s">
        <v>1455</v>
      </c>
      <c r="E1331" s="46" t="s">
        <v>17</v>
      </c>
      <c r="F1331" s="47" t="s">
        <v>18</v>
      </c>
      <c r="G1331" s="47" t="s">
        <v>19</v>
      </c>
      <c r="H1331" s="57">
        <v>45324</v>
      </c>
      <c r="I1331" s="19">
        <f>IF(F1331="是",VLOOKUP(G1331,[220]Sheet2!A:C,3,FALSE),VLOOKUP(G1331,[220]Sheet2!A:B,2,FALSE))</f>
        <v>600</v>
      </c>
      <c r="J1331" s="24" t="s">
        <v>20</v>
      </c>
      <c r="K1331" s="19"/>
    </row>
    <row r="1332" ht="31" customHeight="1" spans="1:11">
      <c r="A1332" s="19">
        <v>1328</v>
      </c>
      <c r="B1332" s="47" t="s">
        <v>1253</v>
      </c>
      <c r="C1332" s="47" t="s">
        <v>1447</v>
      </c>
      <c r="D1332" s="51" t="s">
        <v>1456</v>
      </c>
      <c r="E1332" s="46" t="s">
        <v>17</v>
      </c>
      <c r="F1332" s="47" t="s">
        <v>18</v>
      </c>
      <c r="G1332" s="47" t="s">
        <v>32</v>
      </c>
      <c r="H1332" s="58">
        <v>45323</v>
      </c>
      <c r="I1332" s="19">
        <f>IF(F1332="是",VLOOKUP(G1332,[217]Sheet2!A:C,3,FALSE),VLOOKUP(G1332,[217]Sheet2!A:B,2,FALSE))</f>
        <v>800</v>
      </c>
      <c r="J1332" s="24" t="s">
        <v>20</v>
      </c>
      <c r="K1332" s="19"/>
    </row>
    <row r="1333" ht="31" customHeight="1" spans="1:11">
      <c r="A1333" s="19">
        <v>1329</v>
      </c>
      <c r="B1333" s="47" t="s">
        <v>1253</v>
      </c>
      <c r="C1333" s="47" t="s">
        <v>1447</v>
      </c>
      <c r="D1333" s="51" t="s">
        <v>1457</v>
      </c>
      <c r="E1333" s="46" t="s">
        <v>17</v>
      </c>
      <c r="F1333" s="47" t="s">
        <v>18</v>
      </c>
      <c r="G1333" s="47" t="s">
        <v>32</v>
      </c>
      <c r="H1333" s="58">
        <v>45444</v>
      </c>
      <c r="I1333" s="19">
        <f>IF(F1333="是",VLOOKUP(G1333,[217]Sheet2!A:C,3,FALSE),VLOOKUP(G1333,[217]Sheet2!A:B,2,FALSE))</f>
        <v>800</v>
      </c>
      <c r="J1333" s="24" t="s">
        <v>20</v>
      </c>
      <c r="K1333" s="19"/>
    </row>
    <row r="1334" ht="31" customHeight="1" spans="1:11">
      <c r="A1334" s="19">
        <v>1330</v>
      </c>
      <c r="B1334" s="47" t="s">
        <v>1253</v>
      </c>
      <c r="C1334" s="47" t="s">
        <v>1447</v>
      </c>
      <c r="D1334" s="51" t="s">
        <v>1458</v>
      </c>
      <c r="E1334" s="47" t="s">
        <v>17</v>
      </c>
      <c r="F1334" s="47" t="s">
        <v>18</v>
      </c>
      <c r="G1334" s="51" t="s">
        <v>19</v>
      </c>
      <c r="H1334" s="59">
        <v>45323</v>
      </c>
      <c r="I1334" s="19">
        <v>600</v>
      </c>
      <c r="J1334" s="24" t="s">
        <v>20</v>
      </c>
      <c r="K1334" s="19"/>
    </row>
    <row r="1335" ht="31" customHeight="1" spans="1:11">
      <c r="A1335" s="19">
        <v>1331</v>
      </c>
      <c r="B1335" s="47" t="s">
        <v>1253</v>
      </c>
      <c r="C1335" s="47" t="s">
        <v>1447</v>
      </c>
      <c r="D1335" s="51" t="s">
        <v>1459</v>
      </c>
      <c r="E1335" s="47" t="s">
        <v>17</v>
      </c>
      <c r="F1335" s="47" t="s">
        <v>18</v>
      </c>
      <c r="G1335" s="51" t="s">
        <v>19</v>
      </c>
      <c r="H1335" s="59">
        <v>45323</v>
      </c>
      <c r="I1335" s="19">
        <v>600</v>
      </c>
      <c r="J1335" s="24" t="s">
        <v>20</v>
      </c>
      <c r="K1335" s="19"/>
    </row>
    <row r="1336" ht="31" customHeight="1" spans="1:11">
      <c r="A1336" s="19">
        <v>1332</v>
      </c>
      <c r="B1336" s="47" t="s">
        <v>1253</v>
      </c>
      <c r="C1336" s="47" t="s">
        <v>1447</v>
      </c>
      <c r="D1336" s="51" t="s">
        <v>1460</v>
      </c>
      <c r="E1336" s="46" t="s">
        <v>17</v>
      </c>
      <c r="F1336" s="47" t="s">
        <v>18</v>
      </c>
      <c r="G1336" s="47" t="s">
        <v>98</v>
      </c>
      <c r="H1336" s="59">
        <v>45444</v>
      </c>
      <c r="I1336" s="19">
        <f>IF(F1336="是",VLOOKUP(G1336,[219]Sheet2!A:C,3,FALSE),VLOOKUP(G1336,[219]Sheet2!A:B,2,FALSE))</f>
        <v>800</v>
      </c>
      <c r="J1336" s="24" t="s">
        <v>20</v>
      </c>
      <c r="K1336" s="19"/>
    </row>
    <row r="1337" ht="31" customHeight="1" spans="1:11">
      <c r="A1337" s="19">
        <v>1333</v>
      </c>
      <c r="B1337" s="47" t="s">
        <v>1253</v>
      </c>
      <c r="C1337" s="47" t="s">
        <v>1447</v>
      </c>
      <c r="D1337" s="51" t="s">
        <v>1461</v>
      </c>
      <c r="E1337" s="46" t="s">
        <v>17</v>
      </c>
      <c r="F1337" s="47" t="s">
        <v>18</v>
      </c>
      <c r="G1337" s="51" t="s">
        <v>19</v>
      </c>
      <c r="H1337" s="59">
        <v>45474</v>
      </c>
      <c r="I1337" s="19">
        <f>IF(F1337="是",VLOOKUP(G1337,[208]Sheet2!A:C,3,FALSE),VLOOKUP(G1337,[208]Sheet2!A:B,2,FALSE))</f>
        <v>600</v>
      </c>
      <c r="J1337" s="24" t="s">
        <v>20</v>
      </c>
      <c r="K1337" s="19"/>
    </row>
    <row r="1338" ht="31" customHeight="1" spans="1:11">
      <c r="A1338" s="19">
        <v>1334</v>
      </c>
      <c r="B1338" s="47" t="s">
        <v>1253</v>
      </c>
      <c r="C1338" s="47" t="s">
        <v>1447</v>
      </c>
      <c r="D1338" s="60" t="s">
        <v>1462</v>
      </c>
      <c r="E1338" s="46" t="s">
        <v>17</v>
      </c>
      <c r="F1338" s="47" t="s">
        <v>18</v>
      </c>
      <c r="G1338" s="51" t="s">
        <v>19</v>
      </c>
      <c r="H1338" s="59">
        <v>45323</v>
      </c>
      <c r="I1338" s="19">
        <f>IF(F1338="是",VLOOKUP(G1338,[217]Sheet2!A:C,3,FALSE),VLOOKUP(G1338,[217]Sheet2!A:B,2,FALSE))</f>
        <v>600</v>
      </c>
      <c r="J1338" s="24" t="s">
        <v>20</v>
      </c>
      <c r="K1338" s="19"/>
    </row>
    <row r="1339" ht="31" customHeight="1" spans="1:11">
      <c r="A1339" s="19">
        <v>1335</v>
      </c>
      <c r="B1339" s="47" t="s">
        <v>1253</v>
      </c>
      <c r="C1339" s="47" t="s">
        <v>1447</v>
      </c>
      <c r="D1339" s="60" t="s">
        <v>1463</v>
      </c>
      <c r="E1339" s="46" t="s">
        <v>17</v>
      </c>
      <c r="F1339" s="47" t="s">
        <v>18</v>
      </c>
      <c r="G1339" s="51" t="s">
        <v>19</v>
      </c>
      <c r="H1339" s="59">
        <v>45323</v>
      </c>
      <c r="I1339" s="19">
        <f>IF(F1339="是",VLOOKUP(G1339,[217]Sheet2!A:C,3,FALSE),VLOOKUP(G1339,[217]Sheet2!A:B,2,FALSE))</f>
        <v>600</v>
      </c>
      <c r="J1339" s="24" t="s">
        <v>20</v>
      </c>
      <c r="K1339" s="19"/>
    </row>
    <row r="1340" ht="31" customHeight="1" spans="1:11">
      <c r="A1340" s="19">
        <v>1336</v>
      </c>
      <c r="B1340" s="47" t="s">
        <v>1253</v>
      </c>
      <c r="C1340" s="47" t="s">
        <v>1447</v>
      </c>
      <c r="D1340" s="51" t="s">
        <v>1464</v>
      </c>
      <c r="E1340" s="46" t="s">
        <v>17</v>
      </c>
      <c r="F1340" s="51" t="s">
        <v>18</v>
      </c>
      <c r="G1340" s="51" t="s">
        <v>19</v>
      </c>
      <c r="H1340" s="59">
        <v>45325</v>
      </c>
      <c r="I1340" s="19">
        <f>IF(F1340="是",VLOOKUP(G1340,[217]Sheet2!A:C,3,FALSE),VLOOKUP(G1340,[217]Sheet2!A:B,2,FALSE))</f>
        <v>600</v>
      </c>
      <c r="J1340" s="24" t="s">
        <v>20</v>
      </c>
      <c r="K1340" s="19"/>
    </row>
    <row r="1341" ht="31" customHeight="1" spans="1:11">
      <c r="A1341" s="19">
        <v>1337</v>
      </c>
      <c r="B1341" s="47" t="s">
        <v>1253</v>
      </c>
      <c r="C1341" s="47" t="s">
        <v>1447</v>
      </c>
      <c r="D1341" s="61" t="s">
        <v>1465</v>
      </c>
      <c r="E1341" s="46" t="s">
        <v>17</v>
      </c>
      <c r="F1341" s="47" t="s">
        <v>18</v>
      </c>
      <c r="G1341" s="47" t="s">
        <v>19</v>
      </c>
      <c r="H1341" s="58">
        <v>45347</v>
      </c>
      <c r="I1341" s="19">
        <f>IF(F1341="是",VLOOKUP(G1341,[221]Sheet2!A:C,3,FALSE),VLOOKUP(G1341,[221]Sheet2!A:B,2,FALSE))</f>
        <v>600</v>
      </c>
      <c r="J1341" s="24" t="s">
        <v>20</v>
      </c>
      <c r="K1341" s="19"/>
    </row>
    <row r="1342" ht="31" customHeight="1" spans="1:11">
      <c r="A1342" s="19">
        <v>1338</v>
      </c>
      <c r="B1342" s="47" t="s">
        <v>1253</v>
      </c>
      <c r="C1342" s="47" t="s">
        <v>1447</v>
      </c>
      <c r="D1342" s="61" t="s">
        <v>1466</v>
      </c>
      <c r="E1342" s="46" t="s">
        <v>17</v>
      </c>
      <c r="F1342" s="47" t="s">
        <v>18</v>
      </c>
      <c r="G1342" s="47" t="s">
        <v>19</v>
      </c>
      <c r="H1342" s="58">
        <v>45347</v>
      </c>
      <c r="I1342" s="19">
        <f>IF(F1342="是",VLOOKUP(G1342,[221]Sheet2!A:C,3,FALSE),VLOOKUP(G1342,[221]Sheet2!A:B,2,FALSE))</f>
        <v>600</v>
      </c>
      <c r="J1342" s="24" t="s">
        <v>20</v>
      </c>
      <c r="K1342" s="19"/>
    </row>
    <row r="1343" ht="31" customHeight="1" spans="1:11">
      <c r="A1343" s="19">
        <v>1339</v>
      </c>
      <c r="B1343" s="47" t="s">
        <v>1253</v>
      </c>
      <c r="C1343" s="47" t="s">
        <v>1447</v>
      </c>
      <c r="D1343" s="61" t="s">
        <v>1467</v>
      </c>
      <c r="E1343" s="46" t="s">
        <v>17</v>
      </c>
      <c r="F1343" s="47" t="s">
        <v>18</v>
      </c>
      <c r="G1343" s="47" t="s">
        <v>32</v>
      </c>
      <c r="H1343" s="58">
        <v>45347</v>
      </c>
      <c r="I1343" s="19">
        <f>IF(F1343="是",VLOOKUP(G1343,[221]Sheet2!A:C,3,FALSE),VLOOKUP(G1343,[221]Sheet2!A:B,2,FALSE))</f>
        <v>800</v>
      </c>
      <c r="J1343" s="24" t="s">
        <v>20</v>
      </c>
      <c r="K1343" s="19"/>
    </row>
    <row r="1344" ht="31" customHeight="1" spans="1:11">
      <c r="A1344" s="19">
        <v>1340</v>
      </c>
      <c r="B1344" s="47" t="s">
        <v>1253</v>
      </c>
      <c r="C1344" s="47" t="s">
        <v>1447</v>
      </c>
      <c r="D1344" s="61" t="s">
        <v>1468</v>
      </c>
      <c r="E1344" s="46" t="s">
        <v>17</v>
      </c>
      <c r="F1344" s="47" t="s">
        <v>18</v>
      </c>
      <c r="G1344" s="47" t="s">
        <v>19</v>
      </c>
      <c r="H1344" s="58">
        <v>45347</v>
      </c>
      <c r="I1344" s="19">
        <f>IF(F1344="是",VLOOKUP(G1344,[221]Sheet2!A:C,3,FALSE),VLOOKUP(G1344,[221]Sheet2!A:B,2,FALSE))</f>
        <v>600</v>
      </c>
      <c r="J1344" s="24" t="s">
        <v>20</v>
      </c>
      <c r="K1344" s="19"/>
    </row>
    <row r="1345" ht="31" customHeight="1" spans="1:11">
      <c r="A1345" s="19">
        <v>1341</v>
      </c>
      <c r="B1345" s="47" t="s">
        <v>1253</v>
      </c>
      <c r="C1345" s="47" t="s">
        <v>1447</v>
      </c>
      <c r="D1345" s="51" t="s">
        <v>1469</v>
      </c>
      <c r="E1345" s="46" t="s">
        <v>17</v>
      </c>
      <c r="F1345" s="47" t="s">
        <v>18</v>
      </c>
      <c r="G1345" s="47" t="s">
        <v>19</v>
      </c>
      <c r="H1345" s="58">
        <v>45316</v>
      </c>
      <c r="I1345" s="19">
        <f>IF(F1345="是",VLOOKUP(G1345,[222]Sheet2!A:C,3,FALSE),VLOOKUP(G1345,[222]Sheet2!A:B,2,FALSE))</f>
        <v>600</v>
      </c>
      <c r="J1345" s="24" t="s">
        <v>20</v>
      </c>
      <c r="K1345" s="19"/>
    </row>
    <row r="1346" ht="31" customHeight="1" spans="1:11">
      <c r="A1346" s="19">
        <v>1342</v>
      </c>
      <c r="B1346" s="47" t="s">
        <v>1253</v>
      </c>
      <c r="C1346" s="47" t="s">
        <v>1447</v>
      </c>
      <c r="D1346" s="51" t="s">
        <v>1470</v>
      </c>
      <c r="E1346" s="46" t="s">
        <v>17</v>
      </c>
      <c r="F1346" s="47" t="s">
        <v>18</v>
      </c>
      <c r="G1346" s="47" t="s">
        <v>19</v>
      </c>
      <c r="H1346" s="58">
        <v>45316</v>
      </c>
      <c r="I1346" s="19">
        <f>IF(F1346="是",VLOOKUP(G1346,[222]Sheet2!A:C,3,FALSE),VLOOKUP(G1346,[222]Sheet2!A:B,2,FALSE))</f>
        <v>600</v>
      </c>
      <c r="J1346" s="24" t="s">
        <v>20</v>
      </c>
      <c r="K1346" s="19"/>
    </row>
    <row r="1347" ht="31" customHeight="1" spans="1:11">
      <c r="A1347" s="19">
        <v>1343</v>
      </c>
      <c r="B1347" s="47" t="s">
        <v>1253</v>
      </c>
      <c r="C1347" s="47" t="s">
        <v>1447</v>
      </c>
      <c r="D1347" s="51" t="s">
        <v>1471</v>
      </c>
      <c r="E1347" s="46" t="s">
        <v>17</v>
      </c>
      <c r="F1347" s="47" t="s">
        <v>18</v>
      </c>
      <c r="G1347" s="47" t="s">
        <v>19</v>
      </c>
      <c r="H1347" s="58">
        <v>45316</v>
      </c>
      <c r="I1347" s="19">
        <f>IF(F1347="是",VLOOKUP(G1347,[222]Sheet2!A:C,3,FALSE),VLOOKUP(G1347,[222]Sheet2!A:B,2,FALSE))</f>
        <v>600</v>
      </c>
      <c r="J1347" s="24" t="s">
        <v>20</v>
      </c>
      <c r="K1347" s="19"/>
    </row>
    <row r="1348" ht="31" customHeight="1" spans="1:11">
      <c r="A1348" s="19">
        <v>1344</v>
      </c>
      <c r="B1348" s="47" t="s">
        <v>1253</v>
      </c>
      <c r="C1348" s="47" t="s">
        <v>1447</v>
      </c>
      <c r="D1348" s="51" t="s">
        <v>1472</v>
      </c>
      <c r="E1348" s="46" t="s">
        <v>17</v>
      </c>
      <c r="F1348" s="47" t="s">
        <v>18</v>
      </c>
      <c r="G1348" s="47" t="s">
        <v>98</v>
      </c>
      <c r="H1348" s="58">
        <v>45347</v>
      </c>
      <c r="I1348" s="19">
        <f>IF(F1348="是",VLOOKUP(G1348,[222]Sheet2!A:C,3,FALSE),VLOOKUP(G1348,[222]Sheet2!A:B,2,FALSE))</f>
        <v>800</v>
      </c>
      <c r="J1348" s="24" t="s">
        <v>20</v>
      </c>
      <c r="K1348" s="19"/>
    </row>
    <row r="1349" ht="31" customHeight="1" spans="1:11">
      <c r="A1349" s="19">
        <v>1345</v>
      </c>
      <c r="B1349" s="47" t="s">
        <v>1253</v>
      </c>
      <c r="C1349" s="47" t="s">
        <v>1447</v>
      </c>
      <c r="D1349" s="51" t="s">
        <v>1473</v>
      </c>
      <c r="E1349" s="46" t="s">
        <v>17</v>
      </c>
      <c r="F1349" s="47" t="s">
        <v>18</v>
      </c>
      <c r="G1349" s="47" t="s">
        <v>19</v>
      </c>
      <c r="H1349" s="58">
        <v>45347</v>
      </c>
      <c r="I1349" s="19">
        <f>IF(F1349="是",VLOOKUP(G1349,[221]Sheet2!A:C,3,FALSE),VLOOKUP(G1349,[221]Sheet2!A:B,2,FALSE))</f>
        <v>600</v>
      </c>
      <c r="J1349" s="24" t="s">
        <v>20</v>
      </c>
      <c r="K1349" s="19"/>
    </row>
    <row r="1350" ht="31" customHeight="1" spans="1:11">
      <c r="A1350" s="19">
        <v>1346</v>
      </c>
      <c r="B1350" s="47" t="s">
        <v>1253</v>
      </c>
      <c r="C1350" s="47" t="s">
        <v>1447</v>
      </c>
      <c r="D1350" s="51" t="s">
        <v>1474</v>
      </c>
      <c r="E1350" s="46" t="s">
        <v>17</v>
      </c>
      <c r="F1350" s="51" t="s">
        <v>18</v>
      </c>
      <c r="G1350" s="51" t="s">
        <v>19</v>
      </c>
      <c r="H1350" s="59">
        <v>45354</v>
      </c>
      <c r="I1350" s="19">
        <f>IF(F1350="是",VLOOKUP(G1350,[217]Sheet2!A:C,3,FALSE),VLOOKUP(G1350,[217]Sheet2!A:B,2,FALSE))</f>
        <v>600</v>
      </c>
      <c r="J1350" s="24" t="s">
        <v>20</v>
      </c>
      <c r="K1350" s="19"/>
    </row>
    <row r="1351" ht="31" customHeight="1" spans="1:11">
      <c r="A1351" s="19">
        <v>1347</v>
      </c>
      <c r="B1351" s="47" t="s">
        <v>1253</v>
      </c>
      <c r="C1351" s="47" t="s">
        <v>1447</v>
      </c>
      <c r="D1351" s="51" t="s">
        <v>1475</v>
      </c>
      <c r="E1351" s="46" t="s">
        <v>17</v>
      </c>
      <c r="F1351" s="47" t="s">
        <v>18</v>
      </c>
      <c r="G1351" s="47" t="s">
        <v>32</v>
      </c>
      <c r="H1351" s="59">
        <v>45323</v>
      </c>
      <c r="I1351" s="19">
        <f>IF(F1351="是",VLOOKUP(G1351,[209]Sheet2!A:C,3,FALSE),VLOOKUP(G1351,[209]Sheet2!A:B,2,FALSE))</f>
        <v>800</v>
      </c>
      <c r="J1351" s="24" t="s">
        <v>20</v>
      </c>
      <c r="K1351" s="19"/>
    </row>
    <row r="1352" ht="31" customHeight="1" spans="1:11">
      <c r="A1352" s="19">
        <v>1348</v>
      </c>
      <c r="B1352" s="47" t="s">
        <v>1253</v>
      </c>
      <c r="C1352" s="47" t="s">
        <v>1447</v>
      </c>
      <c r="D1352" s="51" t="s">
        <v>1476</v>
      </c>
      <c r="E1352" s="46" t="s">
        <v>17</v>
      </c>
      <c r="F1352" s="47" t="s">
        <v>18</v>
      </c>
      <c r="G1352" s="51" t="s">
        <v>19</v>
      </c>
      <c r="H1352" s="59">
        <v>45354</v>
      </c>
      <c r="I1352" s="19">
        <f>IF(F1352="是",VLOOKUP(G1352,[214]Sheet2!A:C,3,FALSE),VLOOKUP(G1352,[214]Sheet2!A:B,2,FALSE))</f>
        <v>600</v>
      </c>
      <c r="J1352" s="24" t="s">
        <v>20</v>
      </c>
      <c r="K1352" s="19"/>
    </row>
    <row r="1353" ht="31" customHeight="1" spans="1:11">
      <c r="A1353" s="19">
        <v>1349</v>
      </c>
      <c r="B1353" s="47" t="s">
        <v>1253</v>
      </c>
      <c r="C1353" s="47" t="s">
        <v>1447</v>
      </c>
      <c r="D1353" s="51" t="s">
        <v>1477</v>
      </c>
      <c r="E1353" s="46" t="s">
        <v>17</v>
      </c>
      <c r="F1353" s="47" t="s">
        <v>18</v>
      </c>
      <c r="G1353" s="51" t="s">
        <v>19</v>
      </c>
      <c r="H1353" s="59">
        <v>45354</v>
      </c>
      <c r="I1353" s="19">
        <f>IF(F1353="是",VLOOKUP(G1353,[215]Sheet2!A:C,3,FALSE),VLOOKUP(G1353,[215]Sheet2!A:B,2,FALSE))</f>
        <v>600</v>
      </c>
      <c r="J1353" s="24" t="s">
        <v>20</v>
      </c>
      <c r="K1353" s="19"/>
    </row>
    <row r="1354" ht="31" customHeight="1" spans="1:11">
      <c r="A1354" s="19">
        <v>1350</v>
      </c>
      <c r="B1354" s="47" t="s">
        <v>1253</v>
      </c>
      <c r="C1354" s="47" t="s">
        <v>1447</v>
      </c>
      <c r="D1354" s="51" t="s">
        <v>1478</v>
      </c>
      <c r="E1354" s="46" t="s">
        <v>17</v>
      </c>
      <c r="F1354" s="47" t="s">
        <v>18</v>
      </c>
      <c r="G1354" s="51" t="s">
        <v>19</v>
      </c>
      <c r="H1354" s="58">
        <v>45347</v>
      </c>
      <c r="I1354" s="19">
        <v>600</v>
      </c>
      <c r="J1354" s="24" t="s">
        <v>20</v>
      </c>
      <c r="K1354" s="19"/>
    </row>
    <row r="1355" ht="31" customHeight="1" spans="1:11">
      <c r="A1355" s="19">
        <v>1351</v>
      </c>
      <c r="B1355" s="47" t="s">
        <v>1253</v>
      </c>
      <c r="C1355" s="47" t="s">
        <v>1447</v>
      </c>
      <c r="D1355" s="51" t="s">
        <v>1479</v>
      </c>
      <c r="E1355" s="46" t="s">
        <v>17</v>
      </c>
      <c r="F1355" s="47" t="s">
        <v>18</v>
      </c>
      <c r="G1355" s="51" t="s">
        <v>19</v>
      </c>
      <c r="H1355" s="58">
        <v>45347</v>
      </c>
      <c r="I1355" s="19">
        <v>600</v>
      </c>
      <c r="J1355" s="24" t="s">
        <v>20</v>
      </c>
      <c r="K1355" s="19"/>
    </row>
    <row r="1356" ht="31" customHeight="1" spans="1:11">
      <c r="A1356" s="19">
        <v>1352</v>
      </c>
      <c r="B1356" s="47" t="s">
        <v>1253</v>
      </c>
      <c r="C1356" s="47" t="s">
        <v>1447</v>
      </c>
      <c r="D1356" s="51" t="s">
        <v>1480</v>
      </c>
      <c r="E1356" s="46" t="s">
        <v>17</v>
      </c>
      <c r="F1356" s="47" t="s">
        <v>18</v>
      </c>
      <c r="G1356" s="51" t="s">
        <v>19</v>
      </c>
      <c r="H1356" s="58">
        <v>45468</v>
      </c>
      <c r="I1356" s="19">
        <v>600</v>
      </c>
      <c r="J1356" s="24" t="s">
        <v>20</v>
      </c>
      <c r="K1356" s="19"/>
    </row>
    <row r="1357" ht="31" customHeight="1" spans="1:11">
      <c r="A1357" s="19">
        <v>1353</v>
      </c>
      <c r="B1357" s="47" t="s">
        <v>1253</v>
      </c>
      <c r="C1357" s="47" t="s">
        <v>1447</v>
      </c>
      <c r="D1357" s="51" t="s">
        <v>1481</v>
      </c>
      <c r="E1357" s="46" t="s">
        <v>17</v>
      </c>
      <c r="F1357" s="47" t="s">
        <v>18</v>
      </c>
      <c r="G1357" s="51" t="s">
        <v>19</v>
      </c>
      <c r="H1357" s="58">
        <v>45340</v>
      </c>
      <c r="I1357" s="19">
        <v>600</v>
      </c>
      <c r="J1357" s="24" t="s">
        <v>20</v>
      </c>
      <c r="K1357" s="19"/>
    </row>
    <row r="1358" ht="31" customHeight="1" spans="1:11">
      <c r="A1358" s="19">
        <v>1354</v>
      </c>
      <c r="B1358" s="47" t="s">
        <v>1253</v>
      </c>
      <c r="C1358" s="47" t="s">
        <v>1447</v>
      </c>
      <c r="D1358" s="51" t="s">
        <v>1482</v>
      </c>
      <c r="E1358" s="46" t="s">
        <v>17</v>
      </c>
      <c r="F1358" s="47" t="s">
        <v>18</v>
      </c>
      <c r="G1358" s="47" t="s">
        <v>19</v>
      </c>
      <c r="H1358" s="58">
        <v>45383</v>
      </c>
      <c r="I1358" s="19">
        <f>IF(F1358="是",VLOOKUP(G1358,[218]Sheet2!A:C,3,FALSE),VLOOKUP(G1358,[218]Sheet2!A:B,2,FALSE))</f>
        <v>600</v>
      </c>
      <c r="J1358" s="24" t="s">
        <v>20</v>
      </c>
      <c r="K1358" s="19"/>
    </row>
    <row r="1359" ht="31" customHeight="1" spans="1:11">
      <c r="A1359" s="19">
        <v>1355</v>
      </c>
      <c r="B1359" s="47" t="s">
        <v>1253</v>
      </c>
      <c r="C1359" s="47" t="s">
        <v>1447</v>
      </c>
      <c r="D1359" s="51" t="s">
        <v>1483</v>
      </c>
      <c r="E1359" s="46" t="s">
        <v>17</v>
      </c>
      <c r="F1359" s="47" t="s">
        <v>18</v>
      </c>
      <c r="G1359" s="47" t="s">
        <v>69</v>
      </c>
      <c r="H1359" s="59">
        <v>45323</v>
      </c>
      <c r="I1359" s="19">
        <f>IF(F1359="是",VLOOKUP(G1359,[213]Sheet2!A:C,3,FALSE),VLOOKUP(G1359,[213]Sheet2!A:B,2,FALSE))</f>
        <v>800</v>
      </c>
      <c r="J1359" s="24" t="s">
        <v>20</v>
      </c>
      <c r="K1359" s="19"/>
    </row>
    <row r="1360" ht="31" customHeight="1" spans="1:11">
      <c r="A1360" s="19">
        <v>1356</v>
      </c>
      <c r="B1360" s="47" t="s">
        <v>1253</v>
      </c>
      <c r="C1360" s="47" t="s">
        <v>1447</v>
      </c>
      <c r="D1360" s="51" t="s">
        <v>1484</v>
      </c>
      <c r="E1360" s="46" t="s">
        <v>17</v>
      </c>
      <c r="F1360" s="47" t="s">
        <v>18</v>
      </c>
      <c r="G1360" s="51" t="s">
        <v>19</v>
      </c>
      <c r="H1360" s="59">
        <v>45323</v>
      </c>
      <c r="I1360" s="19">
        <v>600</v>
      </c>
      <c r="J1360" s="24" t="s">
        <v>20</v>
      </c>
      <c r="K1360" s="19"/>
    </row>
    <row r="1361" ht="31" customHeight="1" spans="1:11">
      <c r="A1361" s="19">
        <v>1357</v>
      </c>
      <c r="B1361" s="47" t="s">
        <v>1253</v>
      </c>
      <c r="C1361" s="47" t="s">
        <v>1447</v>
      </c>
      <c r="D1361" s="51" t="s">
        <v>1485</v>
      </c>
      <c r="E1361" s="46" t="s">
        <v>17</v>
      </c>
      <c r="F1361" s="47" t="s">
        <v>18</v>
      </c>
      <c r="G1361" s="47" t="s">
        <v>98</v>
      </c>
      <c r="H1361" s="59">
        <v>45354</v>
      </c>
      <c r="I1361" s="19">
        <f>IF(F1361="是",VLOOKUP(G1361,[217]Sheet2!A:C,3,FALSE),VLOOKUP(G1361,[217]Sheet2!A:B,2,FALSE))</f>
        <v>800</v>
      </c>
      <c r="J1361" s="24" t="s">
        <v>20</v>
      </c>
      <c r="K1361" s="19"/>
    </row>
    <row r="1362" ht="31" customHeight="1" spans="1:11">
      <c r="A1362" s="19">
        <v>1358</v>
      </c>
      <c r="B1362" s="47" t="s">
        <v>1253</v>
      </c>
      <c r="C1362" s="47" t="s">
        <v>1447</v>
      </c>
      <c r="D1362" s="51" t="s">
        <v>1486</v>
      </c>
      <c r="E1362" s="46" t="s">
        <v>17</v>
      </c>
      <c r="F1362" s="47" t="s">
        <v>18</v>
      </c>
      <c r="G1362" s="47" t="s">
        <v>98</v>
      </c>
      <c r="H1362" s="59">
        <v>45354</v>
      </c>
      <c r="I1362" s="19">
        <f>IF(F1362="是",VLOOKUP(G1362,[217]Sheet2!A:C,3,FALSE),VLOOKUP(G1362,[217]Sheet2!A:B,2,FALSE))</f>
        <v>800</v>
      </c>
      <c r="J1362" s="24" t="s">
        <v>20</v>
      </c>
      <c r="K1362" s="19"/>
    </row>
    <row r="1363" ht="31" customHeight="1" spans="1:11">
      <c r="A1363" s="19">
        <v>1359</v>
      </c>
      <c r="B1363" s="47" t="s">
        <v>1253</v>
      </c>
      <c r="C1363" s="47" t="s">
        <v>1447</v>
      </c>
      <c r="D1363" s="51" t="s">
        <v>1487</v>
      </c>
      <c r="E1363" s="46" t="s">
        <v>17</v>
      </c>
      <c r="F1363" s="47" t="s">
        <v>18</v>
      </c>
      <c r="G1363" s="51" t="s">
        <v>19</v>
      </c>
      <c r="H1363" s="58">
        <v>45347</v>
      </c>
      <c r="I1363" s="19">
        <f>IF(F1363="是",VLOOKUP(G1363,[217]Sheet2!A:C,3,FALSE),VLOOKUP(G1363,[217]Sheet2!A:B,2,FALSE))</f>
        <v>600</v>
      </c>
      <c r="J1363" s="24" t="s">
        <v>20</v>
      </c>
      <c r="K1363" s="19"/>
    </row>
    <row r="1364" ht="31" customHeight="1" spans="1:11">
      <c r="A1364" s="19">
        <v>1360</v>
      </c>
      <c r="B1364" s="47" t="s">
        <v>1253</v>
      </c>
      <c r="C1364" s="47" t="s">
        <v>1447</v>
      </c>
      <c r="D1364" s="51" t="s">
        <v>1488</v>
      </c>
      <c r="E1364" s="46" t="s">
        <v>17</v>
      </c>
      <c r="F1364" s="47" t="s">
        <v>18</v>
      </c>
      <c r="G1364" s="51" t="s">
        <v>19</v>
      </c>
      <c r="H1364" s="58">
        <v>45347</v>
      </c>
      <c r="I1364" s="19">
        <f>IF(F1364="是",VLOOKUP(G1364,[217]Sheet2!A:C,3,FALSE),VLOOKUP(G1364,[217]Sheet2!A:B,2,FALSE))</f>
        <v>600</v>
      </c>
      <c r="J1364" s="24" t="s">
        <v>20</v>
      </c>
      <c r="K1364" s="19"/>
    </row>
    <row r="1365" ht="31" customHeight="1" spans="1:11">
      <c r="A1365" s="19">
        <v>1361</v>
      </c>
      <c r="B1365" s="47" t="s">
        <v>1253</v>
      </c>
      <c r="C1365" s="47" t="s">
        <v>1447</v>
      </c>
      <c r="D1365" s="51" t="s">
        <v>1489</v>
      </c>
      <c r="E1365" s="46" t="s">
        <v>17</v>
      </c>
      <c r="F1365" s="47" t="s">
        <v>18</v>
      </c>
      <c r="G1365" s="51" t="s">
        <v>19</v>
      </c>
      <c r="H1365" s="58">
        <v>45347</v>
      </c>
      <c r="I1365" s="19">
        <v>600</v>
      </c>
      <c r="J1365" s="24" t="s">
        <v>20</v>
      </c>
      <c r="K1365" s="19"/>
    </row>
    <row r="1366" ht="31" customHeight="1" spans="1:11">
      <c r="A1366" s="19">
        <v>1362</v>
      </c>
      <c r="B1366" s="47" t="s">
        <v>1253</v>
      </c>
      <c r="C1366" s="47" t="s">
        <v>1447</v>
      </c>
      <c r="D1366" s="51" t="s">
        <v>1490</v>
      </c>
      <c r="E1366" s="46" t="s">
        <v>17</v>
      </c>
      <c r="F1366" s="47" t="s">
        <v>18</v>
      </c>
      <c r="G1366" s="51" t="s">
        <v>78</v>
      </c>
      <c r="H1366" s="22">
        <v>45498</v>
      </c>
      <c r="I1366" s="19">
        <f>IF(F1366="是",VLOOKUP(G1366,[217]Sheet2!A:C,3,FALSE),VLOOKUP(G1366,[217]Sheet2!A:B,2,FALSE))</f>
        <v>800</v>
      </c>
      <c r="J1366" s="24" t="s">
        <v>20</v>
      </c>
      <c r="K1366" s="19"/>
    </row>
    <row r="1367" ht="31" customHeight="1" spans="1:11">
      <c r="A1367" s="19">
        <v>1363</v>
      </c>
      <c r="B1367" s="47" t="s">
        <v>1253</v>
      </c>
      <c r="C1367" s="47" t="s">
        <v>1447</v>
      </c>
      <c r="D1367" s="51" t="s">
        <v>1491</v>
      </c>
      <c r="E1367" s="46" t="s">
        <v>17</v>
      </c>
      <c r="F1367" s="47" t="s">
        <v>18</v>
      </c>
      <c r="G1367" s="51" t="s">
        <v>19</v>
      </c>
      <c r="H1367" s="58">
        <v>45347</v>
      </c>
      <c r="I1367" s="19">
        <f>IF(F1367="是",VLOOKUP(G1367,[217]Sheet2!A:C,3,FALSE),VLOOKUP(G1367,[217]Sheet2!A:B,2,FALSE))</f>
        <v>600</v>
      </c>
      <c r="J1367" s="24" t="s">
        <v>20</v>
      </c>
      <c r="K1367" s="19"/>
    </row>
    <row r="1368" ht="31" customHeight="1" spans="1:11">
      <c r="A1368" s="19">
        <v>1364</v>
      </c>
      <c r="B1368" s="47" t="s">
        <v>1253</v>
      </c>
      <c r="C1368" s="47" t="s">
        <v>1447</v>
      </c>
      <c r="D1368" s="51" t="s">
        <v>1492</v>
      </c>
      <c r="E1368" s="46" t="s">
        <v>17</v>
      </c>
      <c r="F1368" s="47" t="s">
        <v>18</v>
      </c>
      <c r="G1368" s="47" t="s">
        <v>38</v>
      </c>
      <c r="H1368" s="58">
        <v>45347</v>
      </c>
      <c r="I1368" s="19">
        <f>IF(F1368="是",VLOOKUP(G1368,[217]Sheet2!A:C,3,FALSE),VLOOKUP(G1368,[217]Sheet2!A:B,2,FALSE))</f>
        <v>600</v>
      </c>
      <c r="J1368" s="24" t="s">
        <v>20</v>
      </c>
      <c r="K1368" s="19"/>
    </row>
    <row r="1369" ht="31" customHeight="1" spans="1:11">
      <c r="A1369" s="19">
        <v>1365</v>
      </c>
      <c r="B1369" s="47" t="s">
        <v>1253</v>
      </c>
      <c r="C1369" s="47" t="s">
        <v>1447</v>
      </c>
      <c r="D1369" s="51" t="s">
        <v>1493</v>
      </c>
      <c r="E1369" s="46" t="s">
        <v>17</v>
      </c>
      <c r="F1369" s="47" t="s">
        <v>18</v>
      </c>
      <c r="G1369" s="51" t="s">
        <v>19</v>
      </c>
      <c r="H1369" s="58">
        <v>45347</v>
      </c>
      <c r="I1369" s="19">
        <f>IF(F1369="是",VLOOKUP(G1369,[217]Sheet2!A:C,3,FALSE),VLOOKUP(G1369,[217]Sheet2!A:B,2,FALSE))</f>
        <v>600</v>
      </c>
      <c r="J1369" s="24" t="s">
        <v>20</v>
      </c>
      <c r="K1369" s="19"/>
    </row>
    <row r="1370" ht="31" customHeight="1" spans="1:11">
      <c r="A1370" s="19">
        <v>1366</v>
      </c>
      <c r="B1370" s="47" t="s">
        <v>1253</v>
      </c>
      <c r="C1370" s="47" t="s">
        <v>1447</v>
      </c>
      <c r="D1370" s="51" t="s">
        <v>1494</v>
      </c>
      <c r="E1370" s="46" t="s">
        <v>17</v>
      </c>
      <c r="F1370" s="47" t="s">
        <v>18</v>
      </c>
      <c r="G1370" s="51" t="s">
        <v>19</v>
      </c>
      <c r="H1370" s="57">
        <v>45352</v>
      </c>
      <c r="I1370" s="19">
        <f>IF(F1370="是",VLOOKUP(G1370,[217]Sheet2!A:C,3,FALSE),VLOOKUP(G1370,[217]Sheet2!A:B,2,FALSE))</f>
        <v>600</v>
      </c>
      <c r="J1370" s="24" t="s">
        <v>20</v>
      </c>
      <c r="K1370" s="19"/>
    </row>
    <row r="1371" ht="31" customHeight="1" spans="1:11">
      <c r="A1371" s="19">
        <v>1367</v>
      </c>
      <c r="B1371" s="47" t="s">
        <v>1253</v>
      </c>
      <c r="C1371" s="47" t="s">
        <v>1447</v>
      </c>
      <c r="D1371" s="51" t="s">
        <v>1495</v>
      </c>
      <c r="E1371" s="46" t="s">
        <v>17</v>
      </c>
      <c r="F1371" s="47" t="s">
        <v>18</v>
      </c>
      <c r="G1371" s="51" t="s">
        <v>19</v>
      </c>
      <c r="H1371" s="57">
        <v>45352</v>
      </c>
      <c r="I1371" s="19">
        <f>IF(F1371="是",VLOOKUP(G1371,[217]Sheet2!A:C,3,FALSE),VLOOKUP(G1371,[217]Sheet2!A:B,2,FALSE))</f>
        <v>600</v>
      </c>
      <c r="J1371" s="24" t="s">
        <v>20</v>
      </c>
      <c r="K1371" s="19"/>
    </row>
    <row r="1372" ht="31" customHeight="1" spans="1:11">
      <c r="A1372" s="19">
        <v>1368</v>
      </c>
      <c r="B1372" s="47" t="s">
        <v>1253</v>
      </c>
      <c r="C1372" s="47" t="s">
        <v>1447</v>
      </c>
      <c r="D1372" s="51" t="s">
        <v>1496</v>
      </c>
      <c r="E1372" s="46" t="s">
        <v>17</v>
      </c>
      <c r="F1372" s="47" t="s">
        <v>18</v>
      </c>
      <c r="G1372" s="51" t="s">
        <v>19</v>
      </c>
      <c r="H1372" s="57">
        <v>45352</v>
      </c>
      <c r="I1372" s="19">
        <f>IF(F1372="是",VLOOKUP(G1372,[217]Sheet2!A:C,3,FALSE),VLOOKUP(G1372,[217]Sheet2!A:B,2,FALSE))</f>
        <v>600</v>
      </c>
      <c r="J1372" s="24" t="s">
        <v>20</v>
      </c>
      <c r="K1372" s="19"/>
    </row>
    <row r="1373" ht="31" customHeight="1" spans="1:11">
      <c r="A1373" s="19">
        <v>1369</v>
      </c>
      <c r="B1373" s="47" t="s">
        <v>1253</v>
      </c>
      <c r="C1373" s="47" t="s">
        <v>1447</v>
      </c>
      <c r="D1373" s="51" t="s">
        <v>1497</v>
      </c>
      <c r="E1373" s="46" t="s">
        <v>17</v>
      </c>
      <c r="F1373" s="47" t="s">
        <v>18</v>
      </c>
      <c r="G1373" s="47" t="s">
        <v>32</v>
      </c>
      <c r="H1373" s="57">
        <v>45413</v>
      </c>
      <c r="I1373" s="19">
        <f>IF(F1373="是",VLOOKUP(G1373,[217]Sheet2!A:C,3,FALSE),VLOOKUP(G1373,[217]Sheet2!A:B,2,FALSE))</f>
        <v>800</v>
      </c>
      <c r="J1373" s="24" t="s">
        <v>20</v>
      </c>
      <c r="K1373" s="19"/>
    </row>
    <row r="1374" ht="31" customHeight="1" spans="1:11">
      <c r="A1374" s="19">
        <v>1370</v>
      </c>
      <c r="B1374" s="47" t="s">
        <v>1253</v>
      </c>
      <c r="C1374" s="47" t="s">
        <v>1447</v>
      </c>
      <c r="D1374" s="51" t="s">
        <v>1498</v>
      </c>
      <c r="E1374" s="46" t="s">
        <v>17</v>
      </c>
      <c r="F1374" s="47" t="s">
        <v>18</v>
      </c>
      <c r="G1374" s="51" t="s">
        <v>19</v>
      </c>
      <c r="H1374" s="57">
        <v>45352</v>
      </c>
      <c r="I1374" s="19">
        <f>IF(F1374="是",VLOOKUP(G1374,[217]Sheet2!A:C,3,FALSE),VLOOKUP(G1374,[217]Sheet2!A:B,2,FALSE))</f>
        <v>600</v>
      </c>
      <c r="J1374" s="24" t="s">
        <v>20</v>
      </c>
      <c r="K1374" s="19"/>
    </row>
    <row r="1375" ht="31" customHeight="1" spans="1:11">
      <c r="A1375" s="19">
        <v>1371</v>
      </c>
      <c r="B1375" s="47" t="s">
        <v>1253</v>
      </c>
      <c r="C1375" s="47" t="s">
        <v>1447</v>
      </c>
      <c r="D1375" s="51" t="s">
        <v>1499</v>
      </c>
      <c r="E1375" s="46" t="s">
        <v>17</v>
      </c>
      <c r="F1375" s="47" t="s">
        <v>18</v>
      </c>
      <c r="G1375" s="51" t="s">
        <v>19</v>
      </c>
      <c r="H1375" s="57">
        <v>45323</v>
      </c>
      <c r="I1375" s="19">
        <f>IF(F1375="是",VLOOKUP(G1375,[217]Sheet2!A:C,3,FALSE),VLOOKUP(G1375,[217]Sheet2!A:B,2,FALSE))</f>
        <v>600</v>
      </c>
      <c r="J1375" s="24" t="s">
        <v>20</v>
      </c>
      <c r="K1375" s="19"/>
    </row>
    <row r="1376" ht="31" customHeight="1" spans="1:11">
      <c r="A1376" s="19">
        <v>1372</v>
      </c>
      <c r="B1376" s="47" t="s">
        <v>1253</v>
      </c>
      <c r="C1376" s="47" t="s">
        <v>1447</v>
      </c>
      <c r="D1376" s="51" t="s">
        <v>1500</v>
      </c>
      <c r="E1376" s="46" t="s">
        <v>17</v>
      </c>
      <c r="F1376" s="47" t="s">
        <v>18</v>
      </c>
      <c r="G1376" s="51" t="s">
        <v>19</v>
      </c>
      <c r="H1376" s="57">
        <v>45323</v>
      </c>
      <c r="I1376" s="19">
        <f>IF(F1376="是",VLOOKUP(G1376,[217]Sheet2!A:C,3,FALSE),VLOOKUP(G1376,[217]Sheet2!A:B,2,FALSE))</f>
        <v>600</v>
      </c>
      <c r="J1376" s="24" t="s">
        <v>20</v>
      </c>
      <c r="K1376" s="19"/>
    </row>
    <row r="1377" ht="31" customHeight="1" spans="1:11">
      <c r="A1377" s="19">
        <v>1373</v>
      </c>
      <c r="B1377" s="47" t="s">
        <v>1253</v>
      </c>
      <c r="C1377" s="47" t="s">
        <v>1447</v>
      </c>
      <c r="D1377" s="51" t="s">
        <v>1501</v>
      </c>
      <c r="E1377" s="46" t="s">
        <v>17</v>
      </c>
      <c r="F1377" s="47" t="s">
        <v>18</v>
      </c>
      <c r="G1377" s="51" t="s">
        <v>19</v>
      </c>
      <c r="H1377" s="57">
        <v>45323</v>
      </c>
      <c r="I1377" s="19">
        <f>IF(F1377="是",VLOOKUP(G1377,[210]Sheet2!A:C,3,FALSE),VLOOKUP(G1377,[210]Sheet2!A:B,2,FALSE))</f>
        <v>600</v>
      </c>
      <c r="J1377" s="24" t="s">
        <v>20</v>
      </c>
      <c r="K1377" s="19"/>
    </row>
    <row r="1378" ht="31" customHeight="1" spans="1:11">
      <c r="A1378" s="19">
        <v>1374</v>
      </c>
      <c r="B1378" s="47" t="s">
        <v>1253</v>
      </c>
      <c r="C1378" s="47" t="s">
        <v>1447</v>
      </c>
      <c r="D1378" s="51" t="s">
        <v>1502</v>
      </c>
      <c r="E1378" s="46" t="s">
        <v>17</v>
      </c>
      <c r="F1378" s="47" t="s">
        <v>18</v>
      </c>
      <c r="G1378" s="47" t="s">
        <v>32</v>
      </c>
      <c r="H1378" s="59">
        <v>45444</v>
      </c>
      <c r="I1378" s="19">
        <f>IF(F1378="是",VLOOKUP(G1378,[210]Sheet2!A:C,3,FALSE),VLOOKUP(G1378,[210]Sheet2!A:B,2,FALSE))</f>
        <v>800</v>
      </c>
      <c r="J1378" s="24" t="s">
        <v>20</v>
      </c>
      <c r="K1378" s="19"/>
    </row>
    <row r="1379" ht="31" customHeight="1" spans="1:11">
      <c r="A1379" s="19">
        <v>1375</v>
      </c>
      <c r="B1379" s="47" t="s">
        <v>1253</v>
      </c>
      <c r="C1379" s="47" t="s">
        <v>1447</v>
      </c>
      <c r="D1379" s="51" t="s">
        <v>1503</v>
      </c>
      <c r="E1379" s="46" t="s">
        <v>17</v>
      </c>
      <c r="F1379" s="47" t="s">
        <v>18</v>
      </c>
      <c r="G1379" s="47" t="s">
        <v>32</v>
      </c>
      <c r="H1379" s="57">
        <v>45352</v>
      </c>
      <c r="I1379" s="19">
        <f>IF(F1379="是",VLOOKUP(G1379,[210]Sheet2!A:C,3,FALSE),VLOOKUP(G1379,[210]Sheet2!A:B,2,FALSE))</f>
        <v>800</v>
      </c>
      <c r="J1379" s="24" t="s">
        <v>20</v>
      </c>
      <c r="K1379" s="19"/>
    </row>
    <row r="1380" ht="31" customHeight="1" spans="1:11">
      <c r="A1380" s="19">
        <v>1376</v>
      </c>
      <c r="B1380" s="47" t="s">
        <v>1253</v>
      </c>
      <c r="C1380" s="47" t="s">
        <v>1447</v>
      </c>
      <c r="D1380" s="51" t="s">
        <v>1504</v>
      </c>
      <c r="E1380" s="46" t="s">
        <v>17</v>
      </c>
      <c r="F1380" s="47" t="s">
        <v>18</v>
      </c>
      <c r="G1380" s="47" t="s">
        <v>32</v>
      </c>
      <c r="H1380" s="57">
        <v>45352</v>
      </c>
      <c r="I1380" s="19">
        <f>IF(F1380="是",VLOOKUP(G1380,[210]Sheet2!A:C,3,FALSE),VLOOKUP(G1380,[210]Sheet2!A:B,2,FALSE))</f>
        <v>800</v>
      </c>
      <c r="J1380" s="24" t="s">
        <v>20</v>
      </c>
      <c r="K1380" s="19"/>
    </row>
    <row r="1381" ht="31" customHeight="1" spans="1:11">
      <c r="A1381" s="19">
        <v>1377</v>
      </c>
      <c r="B1381" s="47" t="s">
        <v>1253</v>
      </c>
      <c r="C1381" s="51" t="s">
        <v>1447</v>
      </c>
      <c r="D1381" s="51" t="s">
        <v>1505</v>
      </c>
      <c r="E1381" s="48" t="s">
        <v>17</v>
      </c>
      <c r="F1381" s="51" t="s">
        <v>18</v>
      </c>
      <c r="G1381" s="51" t="s">
        <v>19</v>
      </c>
      <c r="H1381" s="59">
        <v>45325</v>
      </c>
      <c r="I1381" s="19">
        <f>IF(F1381="是",VLOOKUP(G1381,[217]Sheet2!A:C,3,FALSE),VLOOKUP(G1381,[217]Sheet2!A:B,2,FALSE))</f>
        <v>600</v>
      </c>
      <c r="J1381" s="24" t="s">
        <v>20</v>
      </c>
      <c r="K1381" s="19"/>
    </row>
    <row r="1382" ht="31" customHeight="1" spans="1:11">
      <c r="A1382" s="19">
        <v>1378</v>
      </c>
      <c r="B1382" s="47" t="s">
        <v>1253</v>
      </c>
      <c r="C1382" s="51" t="s">
        <v>1447</v>
      </c>
      <c r="D1382" s="51" t="s">
        <v>1506</v>
      </c>
      <c r="E1382" s="48" t="s">
        <v>17</v>
      </c>
      <c r="F1382" s="51" t="s">
        <v>18</v>
      </c>
      <c r="G1382" s="51" t="s">
        <v>19</v>
      </c>
      <c r="H1382" s="59">
        <v>45294</v>
      </c>
      <c r="I1382" s="19">
        <v>600</v>
      </c>
      <c r="J1382" s="24" t="s">
        <v>20</v>
      </c>
      <c r="K1382" s="19"/>
    </row>
    <row r="1383" ht="31" customHeight="1" spans="1:11">
      <c r="A1383" s="19">
        <v>1379</v>
      </c>
      <c r="B1383" s="47" t="s">
        <v>1253</v>
      </c>
      <c r="C1383" s="47" t="s">
        <v>1447</v>
      </c>
      <c r="D1383" s="51" t="s">
        <v>1507</v>
      </c>
      <c r="E1383" s="46" t="s">
        <v>17</v>
      </c>
      <c r="F1383" s="47" t="s">
        <v>18</v>
      </c>
      <c r="G1383" s="51" t="s">
        <v>19</v>
      </c>
      <c r="H1383" s="57">
        <v>45323</v>
      </c>
      <c r="I1383" s="19">
        <v>600</v>
      </c>
      <c r="J1383" s="24" t="s">
        <v>20</v>
      </c>
      <c r="K1383" s="19"/>
    </row>
    <row r="1384" ht="31" customHeight="1" spans="1:11">
      <c r="A1384" s="19">
        <v>1380</v>
      </c>
      <c r="B1384" s="47" t="s">
        <v>1253</v>
      </c>
      <c r="C1384" s="47" t="s">
        <v>1447</v>
      </c>
      <c r="D1384" s="51" t="s">
        <v>1508</v>
      </c>
      <c r="E1384" s="46" t="s">
        <v>17</v>
      </c>
      <c r="F1384" s="47" t="s">
        <v>18</v>
      </c>
      <c r="G1384" s="51" t="s">
        <v>19</v>
      </c>
      <c r="H1384" s="57">
        <v>45352</v>
      </c>
      <c r="I1384" s="19">
        <v>600</v>
      </c>
      <c r="J1384" s="24" t="s">
        <v>20</v>
      </c>
      <c r="K1384" s="19"/>
    </row>
    <row r="1385" ht="31" customHeight="1" spans="1:11">
      <c r="A1385" s="19">
        <v>1381</v>
      </c>
      <c r="B1385" s="47" t="s">
        <v>1253</v>
      </c>
      <c r="C1385" s="47" t="s">
        <v>1447</v>
      </c>
      <c r="D1385" s="51" t="s">
        <v>1509</v>
      </c>
      <c r="E1385" s="46" t="s">
        <v>17</v>
      </c>
      <c r="F1385" s="47" t="s">
        <v>18</v>
      </c>
      <c r="G1385" s="51" t="s">
        <v>19</v>
      </c>
      <c r="H1385" s="57">
        <v>45323</v>
      </c>
      <c r="I1385" s="19">
        <v>600</v>
      </c>
      <c r="J1385" s="24" t="s">
        <v>20</v>
      </c>
      <c r="K1385" s="19"/>
    </row>
    <row r="1386" ht="31" customHeight="1" spans="1:11">
      <c r="A1386" s="19">
        <v>1382</v>
      </c>
      <c r="B1386" s="47" t="s">
        <v>1253</v>
      </c>
      <c r="C1386" s="47" t="s">
        <v>1447</v>
      </c>
      <c r="D1386" s="51" t="s">
        <v>1510</v>
      </c>
      <c r="E1386" s="46" t="s">
        <v>17</v>
      </c>
      <c r="F1386" s="47" t="s">
        <v>18</v>
      </c>
      <c r="G1386" s="51" t="s">
        <v>19</v>
      </c>
      <c r="H1386" s="57">
        <v>45323</v>
      </c>
      <c r="I1386" s="19">
        <v>600</v>
      </c>
      <c r="J1386" s="24" t="s">
        <v>20</v>
      </c>
      <c r="K1386" s="19"/>
    </row>
    <row r="1387" ht="31" customHeight="1" spans="1:11">
      <c r="A1387" s="19">
        <v>1383</v>
      </c>
      <c r="B1387" s="47" t="s">
        <v>1253</v>
      </c>
      <c r="C1387" s="47" t="s">
        <v>1447</v>
      </c>
      <c r="D1387" s="51" t="s">
        <v>1511</v>
      </c>
      <c r="E1387" s="46" t="s">
        <v>17</v>
      </c>
      <c r="F1387" s="47" t="s">
        <v>18</v>
      </c>
      <c r="G1387" s="51" t="s">
        <v>19</v>
      </c>
      <c r="H1387" s="57">
        <v>45323</v>
      </c>
      <c r="I1387" s="19">
        <v>600</v>
      </c>
      <c r="J1387" s="24" t="s">
        <v>20</v>
      </c>
      <c r="K1387" s="19"/>
    </row>
    <row r="1388" ht="31" customHeight="1" spans="1:11">
      <c r="A1388" s="19">
        <v>1384</v>
      </c>
      <c r="B1388" s="47" t="s">
        <v>1253</v>
      </c>
      <c r="C1388" s="51" t="s">
        <v>1447</v>
      </c>
      <c r="D1388" s="51" t="s">
        <v>1512</v>
      </c>
      <c r="E1388" s="46" t="s">
        <v>17</v>
      </c>
      <c r="F1388" s="47" t="s">
        <v>18</v>
      </c>
      <c r="G1388" s="51" t="s">
        <v>19</v>
      </c>
      <c r="H1388" s="57">
        <v>45323</v>
      </c>
      <c r="I1388" s="19">
        <v>600</v>
      </c>
      <c r="J1388" s="24" t="s">
        <v>20</v>
      </c>
      <c r="K1388" s="19"/>
    </row>
    <row r="1389" ht="31" customHeight="1" spans="1:11">
      <c r="A1389" s="19">
        <v>1385</v>
      </c>
      <c r="B1389" s="47" t="s">
        <v>1253</v>
      </c>
      <c r="C1389" s="47" t="s">
        <v>1447</v>
      </c>
      <c r="D1389" s="51" t="s">
        <v>1513</v>
      </c>
      <c r="E1389" s="46" t="s">
        <v>17</v>
      </c>
      <c r="F1389" s="47" t="s">
        <v>18</v>
      </c>
      <c r="G1389" s="51" t="s">
        <v>19</v>
      </c>
      <c r="H1389" s="57">
        <v>45323</v>
      </c>
      <c r="I1389" s="19">
        <v>600</v>
      </c>
      <c r="J1389" s="24" t="s">
        <v>20</v>
      </c>
      <c r="K1389" s="19"/>
    </row>
    <row r="1390" ht="31" customHeight="1" spans="1:11">
      <c r="A1390" s="19">
        <v>1386</v>
      </c>
      <c r="B1390" s="47" t="s">
        <v>1253</v>
      </c>
      <c r="C1390" s="51" t="s">
        <v>1447</v>
      </c>
      <c r="D1390" s="51" t="s">
        <v>1514</v>
      </c>
      <c r="E1390" s="46" t="s">
        <v>17</v>
      </c>
      <c r="F1390" s="47" t="s">
        <v>18</v>
      </c>
      <c r="G1390" s="51" t="s">
        <v>19</v>
      </c>
      <c r="H1390" s="58">
        <v>45323</v>
      </c>
      <c r="I1390" s="19">
        <f>IF(F1390="是",VLOOKUP(G1390,[217]Sheet2!A:C,3,FALSE),VLOOKUP(G1390,[217]Sheet2!A:B,2,FALSE))</f>
        <v>600</v>
      </c>
      <c r="J1390" s="24" t="s">
        <v>20</v>
      </c>
      <c r="K1390" s="19"/>
    </row>
    <row r="1391" ht="31" customHeight="1" spans="1:11">
      <c r="A1391" s="19">
        <v>1387</v>
      </c>
      <c r="B1391" s="47" t="s">
        <v>1253</v>
      </c>
      <c r="C1391" s="51" t="s">
        <v>1447</v>
      </c>
      <c r="D1391" s="51" t="s">
        <v>1515</v>
      </c>
      <c r="E1391" s="46" t="s">
        <v>17</v>
      </c>
      <c r="F1391" s="47" t="s">
        <v>18</v>
      </c>
      <c r="G1391" s="51" t="s">
        <v>19</v>
      </c>
      <c r="H1391" s="58">
        <v>45383</v>
      </c>
      <c r="I1391" s="19">
        <f>IF(F1391="是",VLOOKUP(G1391,[217]Sheet2!A:C,3,FALSE),VLOOKUP(G1391,[217]Sheet2!A:B,2,FALSE))</f>
        <v>600</v>
      </c>
      <c r="J1391" s="24" t="s">
        <v>20</v>
      </c>
      <c r="K1391" s="19"/>
    </row>
    <row r="1392" ht="31" customHeight="1" spans="1:11">
      <c r="A1392" s="19">
        <v>1388</v>
      </c>
      <c r="B1392" s="47" t="s">
        <v>1253</v>
      </c>
      <c r="C1392" s="51" t="s">
        <v>1447</v>
      </c>
      <c r="D1392" s="51" t="s">
        <v>1516</v>
      </c>
      <c r="E1392" s="46" t="s">
        <v>17</v>
      </c>
      <c r="F1392" s="47" t="s">
        <v>18</v>
      </c>
      <c r="G1392" s="51" t="s">
        <v>19</v>
      </c>
      <c r="H1392" s="58">
        <v>45352</v>
      </c>
      <c r="I1392" s="19">
        <f>IF(F1392="是",VLOOKUP(G1392,[217]Sheet2!A:C,3,FALSE),VLOOKUP(G1392,[217]Sheet2!A:B,2,FALSE))</f>
        <v>600</v>
      </c>
      <c r="J1392" s="24" t="s">
        <v>20</v>
      </c>
      <c r="K1392" s="19"/>
    </row>
    <row r="1393" ht="31" customHeight="1" spans="1:11">
      <c r="A1393" s="19">
        <v>1389</v>
      </c>
      <c r="B1393" s="47" t="s">
        <v>1253</v>
      </c>
      <c r="C1393" s="47" t="s">
        <v>1447</v>
      </c>
      <c r="D1393" s="51" t="s">
        <v>1517</v>
      </c>
      <c r="E1393" s="46" t="s">
        <v>17</v>
      </c>
      <c r="F1393" s="47" t="s">
        <v>18</v>
      </c>
      <c r="G1393" s="51" t="s">
        <v>19</v>
      </c>
      <c r="H1393" s="57">
        <v>45323</v>
      </c>
      <c r="I1393" s="19">
        <v>600</v>
      </c>
      <c r="J1393" s="24" t="s">
        <v>20</v>
      </c>
      <c r="K1393" s="19"/>
    </row>
    <row r="1394" ht="31" customHeight="1" spans="1:11">
      <c r="A1394" s="19">
        <v>1390</v>
      </c>
      <c r="B1394" s="47" t="s">
        <v>1253</v>
      </c>
      <c r="C1394" s="47" t="s">
        <v>1447</v>
      </c>
      <c r="D1394" s="51" t="s">
        <v>1518</v>
      </c>
      <c r="E1394" s="46" t="s">
        <v>17</v>
      </c>
      <c r="F1394" s="47" t="s">
        <v>18</v>
      </c>
      <c r="G1394" s="47" t="s">
        <v>29</v>
      </c>
      <c r="H1394" s="57">
        <v>45323</v>
      </c>
      <c r="I1394" s="19">
        <f>IF(F1394="是",VLOOKUP(G1394,[211]Sheet2!A:C,3,FALSE),VLOOKUP(G1394,[211]Sheet2!A:B,2,FALSE))</f>
        <v>800</v>
      </c>
      <c r="J1394" s="24" t="s">
        <v>20</v>
      </c>
      <c r="K1394" s="19"/>
    </row>
    <row r="1395" ht="31" customHeight="1" spans="1:11">
      <c r="A1395" s="19">
        <v>1391</v>
      </c>
      <c r="B1395" s="47" t="s">
        <v>1253</v>
      </c>
      <c r="C1395" s="47" t="s">
        <v>1447</v>
      </c>
      <c r="D1395" s="51" t="s">
        <v>1519</v>
      </c>
      <c r="E1395" s="46" t="s">
        <v>17</v>
      </c>
      <c r="F1395" s="47" t="s">
        <v>18</v>
      </c>
      <c r="G1395" s="47" t="s">
        <v>29</v>
      </c>
      <c r="H1395" s="57">
        <v>45324</v>
      </c>
      <c r="I1395" s="19">
        <f>IF(F1395="是",VLOOKUP(G1395,[211]Sheet2!A:C,3,FALSE),VLOOKUP(G1395,[211]Sheet2!A:B,2,FALSE))</f>
        <v>800</v>
      </c>
      <c r="J1395" s="24" t="s">
        <v>20</v>
      </c>
      <c r="K1395" s="19"/>
    </row>
    <row r="1396" ht="31" customHeight="1" spans="1:11">
      <c r="A1396" s="19">
        <v>1392</v>
      </c>
      <c r="B1396" s="47" t="s">
        <v>1253</v>
      </c>
      <c r="C1396" s="47" t="s">
        <v>1447</v>
      </c>
      <c r="D1396" s="51" t="s">
        <v>1520</v>
      </c>
      <c r="E1396" s="46" t="s">
        <v>17</v>
      </c>
      <c r="F1396" s="47" t="s">
        <v>18</v>
      </c>
      <c r="G1396" s="51" t="s">
        <v>19</v>
      </c>
      <c r="H1396" s="57">
        <v>45323</v>
      </c>
      <c r="I1396" s="19">
        <f>IF(F1396="是",VLOOKUP(G1396,[212]Sheet2!A:C,3,FALSE),VLOOKUP(G1396,[212]Sheet2!A:B,2,FALSE))</f>
        <v>600</v>
      </c>
      <c r="J1396" s="24" t="s">
        <v>20</v>
      </c>
      <c r="K1396" s="19"/>
    </row>
    <row r="1397" ht="31" customHeight="1" spans="1:11">
      <c r="A1397" s="19">
        <v>1393</v>
      </c>
      <c r="B1397" s="47" t="s">
        <v>1253</v>
      </c>
      <c r="C1397" s="47" t="s">
        <v>1447</v>
      </c>
      <c r="D1397" s="51" t="s">
        <v>1521</v>
      </c>
      <c r="E1397" s="46" t="s">
        <v>17</v>
      </c>
      <c r="F1397" s="47" t="s">
        <v>18</v>
      </c>
      <c r="G1397" s="51" t="s">
        <v>19</v>
      </c>
      <c r="H1397" s="57">
        <v>45324</v>
      </c>
      <c r="I1397" s="19">
        <f>IF(F1397="是",VLOOKUP(G1397,[212]Sheet2!A:C,3,FALSE),VLOOKUP(G1397,[212]Sheet2!A:B,2,FALSE))</f>
        <v>600</v>
      </c>
      <c r="J1397" s="24" t="s">
        <v>20</v>
      </c>
      <c r="K1397" s="19"/>
    </row>
    <row r="1398" ht="31" customHeight="1" spans="1:11">
      <c r="A1398" s="19">
        <v>1394</v>
      </c>
      <c r="B1398" s="47" t="s">
        <v>1253</v>
      </c>
      <c r="C1398" s="47" t="s">
        <v>1447</v>
      </c>
      <c r="D1398" s="51" t="s">
        <v>1522</v>
      </c>
      <c r="E1398" s="46" t="s">
        <v>17</v>
      </c>
      <c r="F1398" s="47" t="s">
        <v>18</v>
      </c>
      <c r="G1398" s="51" t="s">
        <v>19</v>
      </c>
      <c r="H1398" s="57">
        <v>45325</v>
      </c>
      <c r="I1398" s="19">
        <f>IF(F1398="是",VLOOKUP(G1398,[212]Sheet2!A:C,3,FALSE),VLOOKUP(G1398,[212]Sheet2!A:B,2,FALSE))</f>
        <v>600</v>
      </c>
      <c r="J1398" s="24" t="s">
        <v>20</v>
      </c>
      <c r="K1398" s="19"/>
    </row>
    <row r="1399" ht="31" customHeight="1" spans="1:11">
      <c r="A1399" s="19">
        <v>1395</v>
      </c>
      <c r="B1399" s="47" t="s">
        <v>1253</v>
      </c>
      <c r="C1399" s="47" t="s">
        <v>1447</v>
      </c>
      <c r="D1399" s="51" t="s">
        <v>1523</v>
      </c>
      <c r="E1399" s="46" t="s">
        <v>17</v>
      </c>
      <c r="F1399" s="47" t="s">
        <v>18</v>
      </c>
      <c r="G1399" s="51" t="s">
        <v>19</v>
      </c>
      <c r="H1399" s="58">
        <v>45383</v>
      </c>
      <c r="I1399" s="19">
        <f>IF(F1399="是",VLOOKUP(G1399,[217]Sheet2!A:C,3,FALSE),VLOOKUP(G1399,[217]Sheet2!A:B,2,FALSE))</f>
        <v>600</v>
      </c>
      <c r="J1399" s="24" t="s">
        <v>20</v>
      </c>
      <c r="K1399" s="19"/>
    </row>
    <row r="1400" ht="31" customHeight="1" spans="1:11">
      <c r="A1400" s="19">
        <v>1396</v>
      </c>
      <c r="B1400" s="47" t="s">
        <v>1253</v>
      </c>
      <c r="C1400" s="47" t="s">
        <v>1447</v>
      </c>
      <c r="D1400" s="51" t="s">
        <v>1524</v>
      </c>
      <c r="E1400" s="46" t="s">
        <v>17</v>
      </c>
      <c r="F1400" s="47" t="s">
        <v>18</v>
      </c>
      <c r="G1400" s="51" t="s">
        <v>55</v>
      </c>
      <c r="H1400" s="58">
        <v>45323</v>
      </c>
      <c r="I1400" s="19">
        <f>IF(F1400="是",VLOOKUP(G1400,[217]Sheet2!A:C,3,FALSE),VLOOKUP(G1400,[217]Sheet2!A:B,2,FALSE))</f>
        <v>800</v>
      </c>
      <c r="J1400" s="24" t="s">
        <v>20</v>
      </c>
      <c r="K1400" s="19"/>
    </row>
    <row r="1401" ht="31" customHeight="1" spans="1:11">
      <c r="A1401" s="19">
        <v>1397</v>
      </c>
      <c r="B1401" s="47" t="s">
        <v>1253</v>
      </c>
      <c r="C1401" s="47" t="s">
        <v>1447</v>
      </c>
      <c r="D1401" s="51" t="s">
        <v>1525</v>
      </c>
      <c r="E1401" s="46" t="s">
        <v>17</v>
      </c>
      <c r="F1401" s="47" t="s">
        <v>18</v>
      </c>
      <c r="G1401" s="51" t="s">
        <v>19</v>
      </c>
      <c r="H1401" s="58">
        <v>45352</v>
      </c>
      <c r="I1401" s="19">
        <f>IF(F1401="是",VLOOKUP(G1401,[217]Sheet2!A:C,3,FALSE),VLOOKUP(G1401,[217]Sheet2!A:B,2,FALSE))</f>
        <v>600</v>
      </c>
      <c r="J1401" s="24" t="s">
        <v>20</v>
      </c>
      <c r="K1401" s="19"/>
    </row>
    <row r="1402" ht="31" customHeight="1" spans="1:11">
      <c r="A1402" s="19">
        <v>1398</v>
      </c>
      <c r="B1402" s="47" t="s">
        <v>1253</v>
      </c>
      <c r="C1402" s="51" t="s">
        <v>1447</v>
      </c>
      <c r="D1402" s="51" t="s">
        <v>1526</v>
      </c>
      <c r="E1402" s="46" t="s">
        <v>17</v>
      </c>
      <c r="F1402" s="47" t="s">
        <v>18</v>
      </c>
      <c r="G1402" s="51" t="s">
        <v>19</v>
      </c>
      <c r="H1402" s="58">
        <v>45323</v>
      </c>
      <c r="I1402" s="19">
        <f>IF(F1402="是",VLOOKUP(G1402,[217]Sheet2!A:C,3,FALSE),VLOOKUP(G1402,[217]Sheet2!A:B,2,FALSE))</f>
        <v>600</v>
      </c>
      <c r="J1402" s="24" t="s">
        <v>20</v>
      </c>
      <c r="K1402" s="19"/>
    </row>
    <row r="1403" ht="31" customHeight="1" spans="1:11">
      <c r="A1403" s="19">
        <v>1399</v>
      </c>
      <c r="B1403" s="47" t="s">
        <v>1253</v>
      </c>
      <c r="C1403" s="47" t="s">
        <v>1447</v>
      </c>
      <c r="D1403" s="51" t="s">
        <v>1527</v>
      </c>
      <c r="E1403" s="46" t="s">
        <v>17</v>
      </c>
      <c r="F1403" s="47" t="s">
        <v>18</v>
      </c>
      <c r="G1403" s="51" t="s">
        <v>19</v>
      </c>
      <c r="H1403" s="58">
        <v>45323</v>
      </c>
      <c r="I1403" s="19">
        <f>IF(F1403="是",VLOOKUP(G1403,[217]Sheet2!A:C,3,FALSE),VLOOKUP(G1403,[217]Sheet2!A:B,2,FALSE))</f>
        <v>600</v>
      </c>
      <c r="J1403" s="24" t="s">
        <v>20</v>
      </c>
      <c r="K1403" s="19"/>
    </row>
    <row r="1404" ht="31" customHeight="1" spans="1:11">
      <c r="A1404" s="19">
        <v>1400</v>
      </c>
      <c r="B1404" s="47" t="s">
        <v>1253</v>
      </c>
      <c r="C1404" s="47" t="s">
        <v>1447</v>
      </c>
      <c r="D1404" s="51" t="s">
        <v>1528</v>
      </c>
      <c r="E1404" s="46" t="s">
        <v>17</v>
      </c>
      <c r="F1404" s="47" t="s">
        <v>18</v>
      </c>
      <c r="G1404" s="51" t="s">
        <v>19</v>
      </c>
      <c r="H1404" s="58">
        <v>45323</v>
      </c>
      <c r="I1404" s="19">
        <f>IF(F1404="是",VLOOKUP(G1404,[217]Sheet2!A:C,3,FALSE),VLOOKUP(G1404,[217]Sheet2!A:B,2,FALSE))</f>
        <v>600</v>
      </c>
      <c r="J1404" s="24" t="s">
        <v>20</v>
      </c>
      <c r="K1404" s="19"/>
    </row>
    <row r="1405" ht="31" customHeight="1" spans="1:11">
      <c r="A1405" s="19">
        <v>1401</v>
      </c>
      <c r="B1405" s="47" t="s">
        <v>1253</v>
      </c>
      <c r="C1405" s="47" t="s">
        <v>1447</v>
      </c>
      <c r="D1405" s="51" t="s">
        <v>1529</v>
      </c>
      <c r="E1405" s="46" t="s">
        <v>17</v>
      </c>
      <c r="F1405" s="47" t="s">
        <v>18</v>
      </c>
      <c r="G1405" s="51" t="s">
        <v>19</v>
      </c>
      <c r="H1405" s="58">
        <v>45383</v>
      </c>
      <c r="I1405" s="19">
        <f>IF(F1405="是",VLOOKUP(G1405,[217]Sheet2!A:C,3,FALSE),VLOOKUP(G1405,[217]Sheet2!A:B,2,FALSE))</f>
        <v>600</v>
      </c>
      <c r="J1405" s="24" t="s">
        <v>20</v>
      </c>
      <c r="K1405" s="19"/>
    </row>
    <row r="1406" ht="31" customHeight="1" spans="1:11">
      <c r="A1406" s="19">
        <v>1402</v>
      </c>
      <c r="B1406" s="47" t="s">
        <v>1253</v>
      </c>
      <c r="C1406" s="47" t="s">
        <v>1447</v>
      </c>
      <c r="D1406" s="51" t="s">
        <v>1530</v>
      </c>
      <c r="E1406" s="46" t="s">
        <v>17</v>
      </c>
      <c r="F1406" s="47" t="s">
        <v>18</v>
      </c>
      <c r="G1406" s="51" t="s">
        <v>19</v>
      </c>
      <c r="H1406" s="58">
        <v>45383</v>
      </c>
      <c r="I1406" s="19">
        <f>IF(F1406="是",VLOOKUP(G1406,[217]Sheet2!A:C,3,FALSE),VLOOKUP(G1406,[217]Sheet2!A:B,2,FALSE))</f>
        <v>600</v>
      </c>
      <c r="J1406" s="24" t="s">
        <v>20</v>
      </c>
      <c r="K1406" s="19"/>
    </row>
    <row r="1407" ht="31" customHeight="1" spans="1:11">
      <c r="A1407" s="19">
        <v>1403</v>
      </c>
      <c r="B1407" s="47" t="s">
        <v>1253</v>
      </c>
      <c r="C1407" s="19" t="s">
        <v>1447</v>
      </c>
      <c r="D1407" s="51" t="s">
        <v>1531</v>
      </c>
      <c r="E1407" s="46" t="s">
        <v>17</v>
      </c>
      <c r="F1407" s="47" t="s">
        <v>18</v>
      </c>
      <c r="G1407" s="51" t="s">
        <v>19</v>
      </c>
      <c r="H1407" s="58">
        <v>45323</v>
      </c>
      <c r="I1407" s="19">
        <f>IF(F1407="是",VLOOKUP(G1407,[223]Sheet2!A:C,3,FALSE),VLOOKUP(G1407,[223]Sheet2!A:B,2,FALSE))</f>
        <v>600</v>
      </c>
      <c r="J1407" s="24" t="s">
        <v>20</v>
      </c>
      <c r="K1407" s="19"/>
    </row>
    <row r="1408" ht="31" customHeight="1" spans="1:11">
      <c r="A1408" s="19">
        <v>1404</v>
      </c>
      <c r="B1408" s="19" t="s">
        <v>1253</v>
      </c>
      <c r="C1408" s="19" t="s">
        <v>1447</v>
      </c>
      <c r="D1408" s="20" t="s">
        <v>1532</v>
      </c>
      <c r="E1408" s="31" t="s">
        <v>17</v>
      </c>
      <c r="F1408" s="19" t="s">
        <v>18</v>
      </c>
      <c r="G1408" s="19" t="s">
        <v>19</v>
      </c>
      <c r="H1408" s="37">
        <v>45337</v>
      </c>
      <c r="I1408" s="19">
        <f>IF(F1408="是",VLOOKUP(G1408,[218]Sheet2!A:C,3,FALSE),VLOOKUP(G1408,[218]Sheet2!A:B,2,FALSE))</f>
        <v>600</v>
      </c>
      <c r="J1408" s="24" t="s">
        <v>20</v>
      </c>
      <c r="K1408" s="19"/>
    </row>
    <row r="1409" ht="31" customHeight="1" spans="1:11">
      <c r="A1409" s="19">
        <v>1405</v>
      </c>
      <c r="B1409" s="19" t="s">
        <v>1253</v>
      </c>
      <c r="C1409" s="19" t="s">
        <v>1447</v>
      </c>
      <c r="D1409" s="20" t="s">
        <v>1533</v>
      </c>
      <c r="E1409" s="19" t="s">
        <v>17</v>
      </c>
      <c r="F1409" s="19" t="s">
        <v>18</v>
      </c>
      <c r="G1409" s="19" t="s">
        <v>32</v>
      </c>
      <c r="H1409" s="23">
        <v>45325</v>
      </c>
      <c r="I1409" s="19">
        <f>IF(F1409="是",VLOOKUP(G1409,[216]Sheet2!A:C,3,FALSE),VLOOKUP(G1409,[216]Sheet2!A:B,2,FALSE))</f>
        <v>800</v>
      </c>
      <c r="J1409" s="24" t="s">
        <v>20</v>
      </c>
      <c r="K1409" s="19"/>
    </row>
    <row r="1410" ht="31" customHeight="1" spans="1:11">
      <c r="A1410" s="19">
        <v>1406</v>
      </c>
      <c r="B1410" s="19" t="s">
        <v>1253</v>
      </c>
      <c r="C1410" s="19" t="s">
        <v>1447</v>
      </c>
      <c r="D1410" s="20" t="s">
        <v>1534</v>
      </c>
      <c r="E1410" s="19" t="s">
        <v>17</v>
      </c>
      <c r="F1410" s="19" t="s">
        <v>18</v>
      </c>
      <c r="G1410" s="19" t="s">
        <v>32</v>
      </c>
      <c r="H1410" s="23">
        <v>45325</v>
      </c>
      <c r="I1410" s="19">
        <f>IF(F1410="是",VLOOKUP(G1410,[216]Sheet2!A:C,3,FALSE),VLOOKUP(G1410,[216]Sheet2!A:B,2,FALSE))</f>
        <v>800</v>
      </c>
      <c r="J1410" s="24" t="s">
        <v>20</v>
      </c>
      <c r="K1410" s="19"/>
    </row>
    <row r="1411" ht="31" customHeight="1" spans="1:11">
      <c r="A1411" s="19">
        <v>1407</v>
      </c>
      <c r="B1411" s="19" t="s">
        <v>1253</v>
      </c>
      <c r="C1411" s="19" t="s">
        <v>1447</v>
      </c>
      <c r="D1411" s="20" t="s">
        <v>1535</v>
      </c>
      <c r="E1411" s="19" t="s">
        <v>17</v>
      </c>
      <c r="F1411" s="19" t="s">
        <v>18</v>
      </c>
      <c r="G1411" s="19" t="s">
        <v>32</v>
      </c>
      <c r="H1411" s="23">
        <v>45325</v>
      </c>
      <c r="I1411" s="19">
        <f>IF(F1411="是",VLOOKUP(G1411,[216]Sheet2!A:C,3,FALSE),VLOOKUP(G1411,[216]Sheet2!A:B,2,FALSE))</f>
        <v>800</v>
      </c>
      <c r="J1411" s="24" t="s">
        <v>20</v>
      </c>
      <c r="K1411" s="19"/>
    </row>
    <row r="1412" ht="31" customHeight="1" spans="1:11">
      <c r="A1412" s="19">
        <v>1408</v>
      </c>
      <c r="B1412" s="19" t="s">
        <v>1253</v>
      </c>
      <c r="C1412" s="19" t="s">
        <v>1447</v>
      </c>
      <c r="D1412" s="20" t="s">
        <v>1536</v>
      </c>
      <c r="E1412" s="19" t="s">
        <v>17</v>
      </c>
      <c r="F1412" s="19" t="s">
        <v>18</v>
      </c>
      <c r="G1412" s="19" t="s">
        <v>19</v>
      </c>
      <c r="H1412" s="23">
        <v>45325</v>
      </c>
      <c r="I1412" s="19">
        <f>IF(F1412="是",VLOOKUP(G1412,[216]Sheet2!A:C,3,FALSE),VLOOKUP(G1412,[216]Sheet2!A:B,2,FALSE))</f>
        <v>600</v>
      </c>
      <c r="J1412" s="24" t="s">
        <v>20</v>
      </c>
      <c r="K1412" s="19"/>
    </row>
    <row r="1413" ht="31" customHeight="1" spans="1:11">
      <c r="A1413" s="19">
        <v>1409</v>
      </c>
      <c r="B1413" s="19" t="s">
        <v>1253</v>
      </c>
      <c r="C1413" s="19" t="s">
        <v>1447</v>
      </c>
      <c r="D1413" s="20" t="s">
        <v>1537</v>
      </c>
      <c r="E1413" s="19" t="s">
        <v>17</v>
      </c>
      <c r="F1413" s="19" t="s">
        <v>18</v>
      </c>
      <c r="G1413" s="19" t="s">
        <v>19</v>
      </c>
      <c r="H1413" s="23">
        <v>45354</v>
      </c>
      <c r="I1413" s="19">
        <f>IF(F1413="是",VLOOKUP(G1413,[216]Sheet2!A:C,3,FALSE),VLOOKUP(G1413,[216]Sheet2!A:B,2,FALSE))</f>
        <v>600</v>
      </c>
      <c r="J1413" s="24" t="s">
        <v>20</v>
      </c>
      <c r="K1413" s="19"/>
    </row>
    <row r="1414" ht="31" customHeight="1" spans="1:11">
      <c r="A1414" s="19">
        <v>1410</v>
      </c>
      <c r="B1414" s="19" t="s">
        <v>1253</v>
      </c>
      <c r="C1414" s="19" t="s">
        <v>1447</v>
      </c>
      <c r="D1414" s="20" t="s">
        <v>1538</v>
      </c>
      <c r="E1414" s="19" t="s">
        <v>17</v>
      </c>
      <c r="F1414" s="19" t="s">
        <v>18</v>
      </c>
      <c r="G1414" s="19" t="s">
        <v>32</v>
      </c>
      <c r="H1414" s="23">
        <v>45325</v>
      </c>
      <c r="I1414" s="19">
        <f>IF(F1414="是",VLOOKUP(G1414,[216]Sheet2!A:C,3,FALSE),VLOOKUP(G1414,[216]Sheet2!A:B,2,FALSE))</f>
        <v>800</v>
      </c>
      <c r="J1414" s="24" t="s">
        <v>20</v>
      </c>
      <c r="K1414" s="19"/>
    </row>
    <row r="1415" ht="31" customHeight="1" spans="1:11">
      <c r="A1415" s="19">
        <v>1411</v>
      </c>
      <c r="B1415" s="19" t="s">
        <v>1253</v>
      </c>
      <c r="C1415" s="19" t="s">
        <v>1447</v>
      </c>
      <c r="D1415" s="20" t="s">
        <v>1539</v>
      </c>
      <c r="E1415" s="19" t="s">
        <v>17</v>
      </c>
      <c r="F1415" s="19" t="s">
        <v>18</v>
      </c>
      <c r="G1415" s="19" t="s">
        <v>19</v>
      </c>
      <c r="H1415" s="23">
        <v>45354</v>
      </c>
      <c r="I1415" s="19">
        <f>IF(F1415="是",VLOOKUP(G1415,[216]Sheet2!A:C,3,FALSE),VLOOKUP(G1415,[216]Sheet2!A:B,2,FALSE))</f>
        <v>600</v>
      </c>
      <c r="J1415" s="24" t="s">
        <v>20</v>
      </c>
      <c r="K1415" s="19"/>
    </row>
    <row r="1416" ht="31" customHeight="1" spans="1:11">
      <c r="A1416" s="19">
        <v>1412</v>
      </c>
      <c r="B1416" s="20" t="s">
        <v>1253</v>
      </c>
      <c r="C1416" s="20" t="s">
        <v>1447</v>
      </c>
      <c r="D1416" s="20" t="s">
        <v>1540</v>
      </c>
      <c r="E1416" s="19" t="s">
        <v>17</v>
      </c>
      <c r="F1416" s="19" t="s">
        <v>18</v>
      </c>
      <c r="G1416" s="19" t="s">
        <v>19</v>
      </c>
      <c r="H1416" s="23">
        <v>45323</v>
      </c>
      <c r="I1416" s="19">
        <v>600</v>
      </c>
      <c r="J1416" s="24" t="s">
        <v>20</v>
      </c>
      <c r="K1416" s="19"/>
    </row>
    <row r="1417" ht="31" customHeight="1" spans="1:11">
      <c r="A1417" s="19">
        <v>1413</v>
      </c>
      <c r="B1417" s="20" t="s">
        <v>1253</v>
      </c>
      <c r="C1417" s="20" t="s">
        <v>1447</v>
      </c>
      <c r="D1417" s="20" t="s">
        <v>1541</v>
      </c>
      <c r="E1417" s="31" t="s">
        <v>17</v>
      </c>
      <c r="F1417" s="20" t="s">
        <v>18</v>
      </c>
      <c r="G1417" s="20" t="s">
        <v>32</v>
      </c>
      <c r="H1417" s="23">
        <v>45330</v>
      </c>
      <c r="I1417" s="19">
        <f>IF(F1417="是",VLOOKUP(G1417,[264]Sheet2!A$1:C$65536,3,FALSE),VLOOKUP(G1417,[264]Sheet2!A$1:B$65536,2,FALSE))</f>
        <v>800</v>
      </c>
      <c r="J1417" s="24" t="s">
        <v>20</v>
      </c>
      <c r="K1417" s="19"/>
    </row>
    <row r="1418" ht="31" customHeight="1" spans="1:11">
      <c r="A1418" s="19">
        <v>1414</v>
      </c>
      <c r="B1418" s="20" t="s">
        <v>1253</v>
      </c>
      <c r="C1418" s="20" t="s">
        <v>1447</v>
      </c>
      <c r="D1418" s="20" t="s">
        <v>1542</v>
      </c>
      <c r="E1418" s="31" t="s">
        <v>17</v>
      </c>
      <c r="F1418" s="20" t="s">
        <v>18</v>
      </c>
      <c r="G1418" s="20" t="s">
        <v>32</v>
      </c>
      <c r="H1418" s="23">
        <v>45330</v>
      </c>
      <c r="I1418" s="19">
        <f>IF(F1418="是",VLOOKUP(G1418,[264]Sheet2!A$1:C$65536,3,FALSE),VLOOKUP(G1418,[264]Sheet2!A$1:B$65536,2,FALSE))</f>
        <v>800</v>
      </c>
      <c r="J1418" s="24" t="s">
        <v>20</v>
      </c>
      <c r="K1418" s="19"/>
    </row>
    <row r="1419" ht="31" customHeight="1" spans="1:11">
      <c r="A1419" s="19">
        <v>1415</v>
      </c>
      <c r="B1419" s="20" t="s">
        <v>1253</v>
      </c>
      <c r="C1419" s="20" t="s">
        <v>1447</v>
      </c>
      <c r="D1419" s="41" t="s">
        <v>1543</v>
      </c>
      <c r="E1419" s="31" t="s">
        <v>17</v>
      </c>
      <c r="F1419" s="20" t="s">
        <v>18</v>
      </c>
      <c r="G1419" s="20" t="s">
        <v>32</v>
      </c>
      <c r="H1419" s="23">
        <v>45352</v>
      </c>
      <c r="I1419" s="19">
        <f>IF(F1419="是",VLOOKUP(G1419,[263]Sheet2!A$1:C$65536,3,FALSE),VLOOKUP(G1419,[263]Sheet2!A$1:B$65536,2,FALSE))</f>
        <v>800</v>
      </c>
      <c r="J1419" s="24" t="s">
        <v>20</v>
      </c>
      <c r="K1419" s="19"/>
    </row>
    <row r="1420" ht="31" customHeight="1" spans="1:11">
      <c r="A1420" s="19">
        <v>1416</v>
      </c>
      <c r="B1420" s="20" t="s">
        <v>1253</v>
      </c>
      <c r="C1420" s="20" t="s">
        <v>1447</v>
      </c>
      <c r="D1420" s="20" t="s">
        <v>1544</v>
      </c>
      <c r="E1420" s="31" t="s">
        <v>17</v>
      </c>
      <c r="F1420" s="20" t="s">
        <v>18</v>
      </c>
      <c r="G1420" s="20" t="s">
        <v>29</v>
      </c>
      <c r="H1420" s="23">
        <v>45352</v>
      </c>
      <c r="I1420" s="19">
        <f>IF(F1420="是",VLOOKUP(G1420,[262]Sheet2!A:C,3,FALSE),VLOOKUP(G1420,[262]Sheet2!A:B,2,FALSE))</f>
        <v>800</v>
      </c>
      <c r="J1420" s="24" t="s">
        <v>20</v>
      </c>
      <c r="K1420" s="19"/>
    </row>
    <row r="1421" ht="31" customHeight="1" spans="1:11">
      <c r="A1421" s="19">
        <v>1417</v>
      </c>
      <c r="B1421" s="20" t="s">
        <v>1253</v>
      </c>
      <c r="C1421" s="20" t="s">
        <v>1447</v>
      </c>
      <c r="D1421" s="20" t="s">
        <v>1545</v>
      </c>
      <c r="E1421" s="31" t="s">
        <v>17</v>
      </c>
      <c r="F1421" s="20" t="s">
        <v>18</v>
      </c>
      <c r="G1421" s="20" t="s">
        <v>29</v>
      </c>
      <c r="H1421" s="23">
        <v>45352</v>
      </c>
      <c r="I1421" s="19">
        <f>IF(F1421="是",VLOOKUP(G1421,[262]Sheet2!A:C,3,FALSE),VLOOKUP(G1421,[262]Sheet2!A:B,2,FALSE))</f>
        <v>800</v>
      </c>
      <c r="J1421" s="24" t="s">
        <v>20</v>
      </c>
      <c r="K1421" s="19"/>
    </row>
    <row r="1422" ht="31" customHeight="1" spans="1:11">
      <c r="A1422" s="19">
        <v>1418</v>
      </c>
      <c r="B1422" s="19" t="s">
        <v>1253</v>
      </c>
      <c r="C1422" s="19" t="s">
        <v>1447</v>
      </c>
      <c r="D1422" s="19" t="s">
        <v>1546</v>
      </c>
      <c r="E1422" s="31" t="s">
        <v>17</v>
      </c>
      <c r="F1422" s="19" t="s">
        <v>18</v>
      </c>
      <c r="G1422" s="19" t="s">
        <v>19</v>
      </c>
      <c r="H1422" s="23">
        <v>45330</v>
      </c>
      <c r="I1422" s="19">
        <v>600</v>
      </c>
      <c r="J1422" s="24" t="s">
        <v>20</v>
      </c>
      <c r="K1422" s="19"/>
    </row>
    <row r="1423" ht="31" customHeight="1" spans="1:11">
      <c r="A1423" s="19">
        <v>1419</v>
      </c>
      <c r="B1423" s="19" t="s">
        <v>1253</v>
      </c>
      <c r="C1423" s="19" t="s">
        <v>1447</v>
      </c>
      <c r="D1423" s="19" t="s">
        <v>1547</v>
      </c>
      <c r="E1423" s="31" t="s">
        <v>17</v>
      </c>
      <c r="F1423" s="19" t="s">
        <v>18</v>
      </c>
      <c r="G1423" s="19" t="s">
        <v>19</v>
      </c>
      <c r="H1423" s="23">
        <v>45352</v>
      </c>
      <c r="I1423" s="19">
        <v>600</v>
      </c>
      <c r="J1423" s="24" t="s">
        <v>20</v>
      </c>
      <c r="K1423" s="19"/>
    </row>
    <row r="1424" ht="31" customHeight="1" spans="1:11">
      <c r="A1424" s="19">
        <v>1420</v>
      </c>
      <c r="B1424" s="19" t="s">
        <v>1253</v>
      </c>
      <c r="C1424" s="19" t="s">
        <v>1447</v>
      </c>
      <c r="D1424" s="19" t="s">
        <v>1548</v>
      </c>
      <c r="E1424" s="31" t="s">
        <v>17</v>
      </c>
      <c r="F1424" s="19" t="s">
        <v>18</v>
      </c>
      <c r="G1424" s="19" t="s">
        <v>32</v>
      </c>
      <c r="H1424" s="23">
        <v>45330</v>
      </c>
      <c r="I1424" s="19">
        <f>IF(F1424="是",VLOOKUP(G1424,[261]Sheet2!A:C,3,FALSE),VLOOKUP(G1424,[261]Sheet2!A:B,2,FALSE))</f>
        <v>800</v>
      </c>
      <c r="J1424" s="24" t="s">
        <v>20</v>
      </c>
      <c r="K1424" s="19"/>
    </row>
    <row r="1425" ht="31" customHeight="1" spans="1:11">
      <c r="A1425" s="19">
        <v>1421</v>
      </c>
      <c r="B1425" s="19" t="s">
        <v>1253</v>
      </c>
      <c r="C1425" s="19" t="s">
        <v>1447</v>
      </c>
      <c r="D1425" s="19" t="s">
        <v>1549</v>
      </c>
      <c r="E1425" s="31" t="s">
        <v>17</v>
      </c>
      <c r="F1425" s="19" t="s">
        <v>18</v>
      </c>
      <c r="G1425" s="19" t="s">
        <v>19</v>
      </c>
      <c r="H1425" s="23">
        <v>45413</v>
      </c>
      <c r="I1425" s="19">
        <f>IF(F1425="是",VLOOKUP(G1425,[265]Sheet2!A:C,3,FALSE),VLOOKUP(G1425,[265]Sheet2!A:B,2,FALSE))</f>
        <v>600</v>
      </c>
      <c r="J1425" s="24" t="s">
        <v>20</v>
      </c>
      <c r="K1425" s="19"/>
    </row>
    <row r="1426" ht="31" customHeight="1" spans="1:11">
      <c r="A1426" s="19">
        <v>1422</v>
      </c>
      <c r="B1426" s="19" t="s">
        <v>1253</v>
      </c>
      <c r="C1426" s="19" t="s">
        <v>1447</v>
      </c>
      <c r="D1426" s="19" t="s">
        <v>1550</v>
      </c>
      <c r="E1426" s="31" t="s">
        <v>17</v>
      </c>
      <c r="F1426" s="19" t="s">
        <v>18</v>
      </c>
      <c r="G1426" s="19" t="s">
        <v>19</v>
      </c>
      <c r="H1426" s="23">
        <v>45383</v>
      </c>
      <c r="I1426" s="19">
        <f>IF(F1426="是",VLOOKUP(G1426,[266]Sheet2!A:C,3,FALSE),VLOOKUP(G1426,[266]Sheet2!A:B,2,FALSE))</f>
        <v>600</v>
      </c>
      <c r="J1426" s="24" t="s">
        <v>20</v>
      </c>
      <c r="K1426" s="19"/>
    </row>
    <row r="1427" ht="31" customHeight="1" spans="1:11">
      <c r="A1427" s="19">
        <v>1423</v>
      </c>
      <c r="B1427" s="19" t="s">
        <v>1253</v>
      </c>
      <c r="C1427" s="19" t="s">
        <v>1447</v>
      </c>
      <c r="D1427" s="20" t="s">
        <v>1551</v>
      </c>
      <c r="E1427" s="19" t="s">
        <v>17</v>
      </c>
      <c r="F1427" s="19" t="s">
        <v>18</v>
      </c>
      <c r="G1427" s="19" t="s">
        <v>29</v>
      </c>
      <c r="H1427" s="23">
        <v>45350</v>
      </c>
      <c r="I1427" s="19">
        <v>800</v>
      </c>
      <c r="J1427" s="24" t="s">
        <v>20</v>
      </c>
      <c r="K1427" s="19"/>
    </row>
    <row r="1428" ht="31" customHeight="1" spans="1:11">
      <c r="A1428" s="19">
        <v>1424</v>
      </c>
      <c r="B1428" s="19" t="s">
        <v>1253</v>
      </c>
      <c r="C1428" s="20" t="s">
        <v>1447</v>
      </c>
      <c r="D1428" s="20" t="s">
        <v>1552</v>
      </c>
      <c r="E1428" s="19" t="s">
        <v>17</v>
      </c>
      <c r="F1428" s="19" t="s">
        <v>18</v>
      </c>
      <c r="G1428" s="19" t="s">
        <v>19</v>
      </c>
      <c r="H1428" s="23">
        <v>45292</v>
      </c>
      <c r="I1428" s="19">
        <v>600</v>
      </c>
      <c r="J1428" s="24" t="s">
        <v>20</v>
      </c>
      <c r="K1428" s="19"/>
    </row>
    <row r="1429" ht="31" customHeight="1" spans="1:11">
      <c r="A1429" s="19">
        <v>1425</v>
      </c>
      <c r="B1429" s="19" t="s">
        <v>1253</v>
      </c>
      <c r="C1429" s="19" t="s">
        <v>1447</v>
      </c>
      <c r="D1429" s="20" t="s">
        <v>1553</v>
      </c>
      <c r="E1429" s="19" t="s">
        <v>17</v>
      </c>
      <c r="F1429" s="19" t="s">
        <v>18</v>
      </c>
      <c r="G1429" s="19" t="s">
        <v>19</v>
      </c>
      <c r="H1429" s="23">
        <v>45350</v>
      </c>
      <c r="I1429" s="19">
        <v>600</v>
      </c>
      <c r="J1429" s="24" t="s">
        <v>20</v>
      </c>
      <c r="K1429" s="19"/>
    </row>
    <row r="1430" ht="31" customHeight="1" spans="1:11">
      <c r="A1430" s="19">
        <v>1426</v>
      </c>
      <c r="B1430" s="19" t="s">
        <v>1253</v>
      </c>
      <c r="C1430" s="19" t="s">
        <v>1447</v>
      </c>
      <c r="D1430" s="20" t="s">
        <v>1554</v>
      </c>
      <c r="E1430" s="19" t="s">
        <v>17</v>
      </c>
      <c r="F1430" s="19" t="s">
        <v>18</v>
      </c>
      <c r="G1430" s="19" t="s">
        <v>19</v>
      </c>
      <c r="H1430" s="23">
        <v>45350</v>
      </c>
      <c r="I1430" s="19">
        <v>600</v>
      </c>
      <c r="J1430" s="24" t="s">
        <v>20</v>
      </c>
      <c r="K1430" s="19"/>
    </row>
    <row r="1431" ht="31" customHeight="1" spans="1:11">
      <c r="A1431" s="19">
        <v>1427</v>
      </c>
      <c r="B1431" s="19" t="s">
        <v>1253</v>
      </c>
      <c r="C1431" s="19" t="s">
        <v>1447</v>
      </c>
      <c r="D1431" s="20" t="s">
        <v>1555</v>
      </c>
      <c r="E1431" s="19" t="s">
        <v>17</v>
      </c>
      <c r="F1431" s="19" t="s">
        <v>18</v>
      </c>
      <c r="G1431" s="19" t="s">
        <v>19</v>
      </c>
      <c r="H1431" s="23">
        <v>45350</v>
      </c>
      <c r="I1431" s="19">
        <v>600</v>
      </c>
      <c r="J1431" s="24" t="s">
        <v>20</v>
      </c>
      <c r="K1431" s="19"/>
    </row>
    <row r="1432" ht="31" customHeight="1" spans="1:11">
      <c r="A1432" s="19">
        <v>1428</v>
      </c>
      <c r="B1432" s="19" t="s">
        <v>1253</v>
      </c>
      <c r="C1432" s="19" t="s">
        <v>1447</v>
      </c>
      <c r="D1432" s="20" t="s">
        <v>1556</v>
      </c>
      <c r="E1432" s="19" t="s">
        <v>17</v>
      </c>
      <c r="F1432" s="19" t="s">
        <v>18</v>
      </c>
      <c r="G1432" s="19" t="s">
        <v>19</v>
      </c>
      <c r="H1432" s="23">
        <v>45350</v>
      </c>
      <c r="I1432" s="19">
        <v>600</v>
      </c>
      <c r="J1432" s="24" t="s">
        <v>20</v>
      </c>
      <c r="K1432" s="19"/>
    </row>
    <row r="1433" ht="31" customHeight="1" spans="1:11">
      <c r="A1433" s="19">
        <v>1429</v>
      </c>
      <c r="B1433" s="19" t="s">
        <v>1253</v>
      </c>
      <c r="C1433" s="19" t="s">
        <v>1447</v>
      </c>
      <c r="D1433" s="20" t="s">
        <v>1557</v>
      </c>
      <c r="E1433" s="19" t="s">
        <v>17</v>
      </c>
      <c r="F1433" s="19" t="s">
        <v>18</v>
      </c>
      <c r="G1433" s="19" t="s">
        <v>19</v>
      </c>
      <c r="H1433" s="23">
        <v>45350</v>
      </c>
      <c r="I1433" s="19">
        <v>600</v>
      </c>
      <c r="J1433" s="24" t="s">
        <v>20</v>
      </c>
      <c r="K1433" s="19"/>
    </row>
    <row r="1434" ht="31" customHeight="1" spans="1:11">
      <c r="A1434" s="19">
        <v>1430</v>
      </c>
      <c r="B1434" s="19" t="s">
        <v>1253</v>
      </c>
      <c r="C1434" s="19" t="s">
        <v>1447</v>
      </c>
      <c r="D1434" s="20" t="s">
        <v>1558</v>
      </c>
      <c r="E1434" s="19" t="s">
        <v>17</v>
      </c>
      <c r="F1434" s="19" t="s">
        <v>18</v>
      </c>
      <c r="G1434" s="19" t="s">
        <v>19</v>
      </c>
      <c r="H1434" s="23">
        <v>45352</v>
      </c>
      <c r="I1434" s="19">
        <v>600</v>
      </c>
      <c r="J1434" s="24" t="s">
        <v>20</v>
      </c>
      <c r="K1434" s="19"/>
    </row>
    <row r="1435" ht="31" customHeight="1" spans="1:11">
      <c r="A1435" s="19">
        <v>1431</v>
      </c>
      <c r="B1435" s="19" t="s">
        <v>1253</v>
      </c>
      <c r="C1435" s="19" t="s">
        <v>1447</v>
      </c>
      <c r="D1435" s="19" t="s">
        <v>1559</v>
      </c>
      <c r="E1435" s="19" t="s">
        <v>17</v>
      </c>
      <c r="F1435" s="19" t="s">
        <v>18</v>
      </c>
      <c r="G1435" s="19" t="s">
        <v>19</v>
      </c>
      <c r="H1435" s="23">
        <v>45444</v>
      </c>
      <c r="I1435" s="19">
        <v>600</v>
      </c>
      <c r="J1435" s="24" t="s">
        <v>20</v>
      </c>
      <c r="K1435" s="19"/>
    </row>
    <row r="1436" ht="31" customHeight="1" spans="1:11">
      <c r="A1436" s="19">
        <v>1432</v>
      </c>
      <c r="B1436" s="19" t="s">
        <v>1253</v>
      </c>
      <c r="C1436" s="19" t="s">
        <v>1447</v>
      </c>
      <c r="D1436" s="19" t="s">
        <v>1560</v>
      </c>
      <c r="E1436" s="21" t="s">
        <v>17</v>
      </c>
      <c r="F1436" s="19" t="s">
        <v>18</v>
      </c>
      <c r="G1436" s="19" t="s">
        <v>19</v>
      </c>
      <c r="H1436" s="44">
        <v>45323</v>
      </c>
      <c r="I1436" s="19">
        <v>600</v>
      </c>
      <c r="J1436" s="24" t="s">
        <v>20</v>
      </c>
      <c r="K1436" s="19"/>
    </row>
    <row r="1437" ht="31" customHeight="1" spans="1:11">
      <c r="A1437" s="19">
        <v>1433</v>
      </c>
      <c r="B1437" s="19" t="s">
        <v>1253</v>
      </c>
      <c r="C1437" s="19" t="s">
        <v>1447</v>
      </c>
      <c r="D1437" s="19" t="s">
        <v>1561</v>
      </c>
      <c r="E1437" s="21" t="s">
        <v>17</v>
      </c>
      <c r="F1437" s="19" t="s">
        <v>18</v>
      </c>
      <c r="G1437" s="19" t="s">
        <v>19</v>
      </c>
      <c r="H1437" s="44">
        <v>45323</v>
      </c>
      <c r="I1437" s="19">
        <v>600</v>
      </c>
      <c r="J1437" s="24" t="s">
        <v>20</v>
      </c>
      <c r="K1437" s="19"/>
    </row>
    <row r="1438" ht="31" customHeight="1" spans="1:11">
      <c r="A1438" s="19">
        <v>1434</v>
      </c>
      <c r="B1438" s="19" t="s">
        <v>1253</v>
      </c>
      <c r="C1438" s="19" t="s">
        <v>1447</v>
      </c>
      <c r="D1438" s="19" t="s">
        <v>1562</v>
      </c>
      <c r="E1438" s="21" t="s">
        <v>17</v>
      </c>
      <c r="F1438" s="19" t="s">
        <v>18</v>
      </c>
      <c r="G1438" s="19" t="s">
        <v>32</v>
      </c>
      <c r="H1438" s="44">
        <v>45323</v>
      </c>
      <c r="I1438" s="19">
        <v>800</v>
      </c>
      <c r="J1438" s="24" t="s">
        <v>20</v>
      </c>
      <c r="K1438" s="19"/>
    </row>
    <row r="1439" ht="31" customHeight="1" spans="1:11">
      <c r="A1439" s="19">
        <v>1435</v>
      </c>
      <c r="B1439" s="19" t="s">
        <v>1253</v>
      </c>
      <c r="C1439" s="19" t="s">
        <v>1447</v>
      </c>
      <c r="D1439" s="19" t="s">
        <v>1563</v>
      </c>
      <c r="E1439" s="21" t="s">
        <v>17</v>
      </c>
      <c r="F1439" s="19" t="s">
        <v>18</v>
      </c>
      <c r="G1439" s="19" t="s">
        <v>19</v>
      </c>
      <c r="H1439" s="44">
        <v>45352</v>
      </c>
      <c r="I1439" s="19">
        <v>600</v>
      </c>
      <c r="J1439" s="24" t="s">
        <v>20</v>
      </c>
      <c r="K1439" s="19"/>
    </row>
    <row r="1440" ht="31" customHeight="1" spans="1:11">
      <c r="A1440" s="19">
        <v>1436</v>
      </c>
      <c r="B1440" s="19" t="s">
        <v>1253</v>
      </c>
      <c r="C1440" s="19" t="s">
        <v>1447</v>
      </c>
      <c r="D1440" s="19" t="s">
        <v>1564</v>
      </c>
      <c r="E1440" s="21" t="s">
        <v>17</v>
      </c>
      <c r="F1440" s="19" t="s">
        <v>18</v>
      </c>
      <c r="G1440" s="19" t="s">
        <v>351</v>
      </c>
      <c r="H1440" s="44">
        <v>45323</v>
      </c>
      <c r="I1440" s="19">
        <v>800</v>
      </c>
      <c r="J1440" s="24" t="s">
        <v>20</v>
      </c>
      <c r="K1440" s="19"/>
    </row>
    <row r="1441" ht="31" customHeight="1" spans="1:11">
      <c r="A1441" s="19">
        <v>1437</v>
      </c>
      <c r="B1441" s="19" t="s">
        <v>1253</v>
      </c>
      <c r="C1441" s="19" t="s">
        <v>1447</v>
      </c>
      <c r="D1441" s="19" t="s">
        <v>1565</v>
      </c>
      <c r="E1441" s="21" t="s">
        <v>17</v>
      </c>
      <c r="F1441" s="19" t="s">
        <v>18</v>
      </c>
      <c r="G1441" s="19" t="s">
        <v>19</v>
      </c>
      <c r="H1441" s="44">
        <v>45323</v>
      </c>
      <c r="I1441" s="19">
        <v>600</v>
      </c>
      <c r="J1441" s="24" t="s">
        <v>20</v>
      </c>
      <c r="K1441" s="19"/>
    </row>
    <row r="1442" ht="31" customHeight="1" spans="1:11">
      <c r="A1442" s="19">
        <v>1438</v>
      </c>
      <c r="B1442" s="19" t="s">
        <v>1253</v>
      </c>
      <c r="C1442" s="19" t="s">
        <v>1447</v>
      </c>
      <c r="D1442" s="19" t="s">
        <v>1566</v>
      </c>
      <c r="E1442" s="21" t="s">
        <v>17</v>
      </c>
      <c r="F1442" s="19" t="s">
        <v>18</v>
      </c>
      <c r="G1442" s="19" t="s">
        <v>19</v>
      </c>
      <c r="H1442" s="44">
        <v>45323</v>
      </c>
      <c r="I1442" s="19">
        <v>600</v>
      </c>
      <c r="J1442" s="24" t="s">
        <v>20</v>
      </c>
      <c r="K1442" s="19"/>
    </row>
    <row r="1443" ht="31" customHeight="1" spans="1:11">
      <c r="A1443" s="19">
        <v>1439</v>
      </c>
      <c r="B1443" s="19" t="s">
        <v>1253</v>
      </c>
      <c r="C1443" s="19" t="s">
        <v>1447</v>
      </c>
      <c r="D1443" s="19" t="s">
        <v>1567</v>
      </c>
      <c r="E1443" s="21" t="s">
        <v>17</v>
      </c>
      <c r="F1443" s="19" t="s">
        <v>18</v>
      </c>
      <c r="G1443" s="19" t="s">
        <v>19</v>
      </c>
      <c r="H1443" s="44">
        <v>45323</v>
      </c>
      <c r="I1443" s="19">
        <v>600</v>
      </c>
      <c r="J1443" s="24" t="s">
        <v>20</v>
      </c>
      <c r="K1443" s="19"/>
    </row>
    <row r="1444" ht="31" customHeight="1" spans="1:11">
      <c r="A1444" s="19">
        <v>1440</v>
      </c>
      <c r="B1444" s="19" t="s">
        <v>1253</v>
      </c>
      <c r="C1444" s="19" t="s">
        <v>1447</v>
      </c>
      <c r="D1444" s="19" t="s">
        <v>1568</v>
      </c>
      <c r="E1444" s="21" t="s">
        <v>17</v>
      </c>
      <c r="F1444" s="19" t="s">
        <v>18</v>
      </c>
      <c r="G1444" s="19" t="s">
        <v>19</v>
      </c>
      <c r="H1444" s="44">
        <v>45323</v>
      </c>
      <c r="I1444" s="19">
        <v>600</v>
      </c>
      <c r="J1444" s="24" t="s">
        <v>20</v>
      </c>
      <c r="K1444" s="19"/>
    </row>
    <row r="1445" ht="31" customHeight="1" spans="1:11">
      <c r="A1445" s="19">
        <v>1441</v>
      </c>
      <c r="B1445" s="19" t="s">
        <v>1253</v>
      </c>
      <c r="C1445" s="19" t="s">
        <v>1447</v>
      </c>
      <c r="D1445" s="19" t="s">
        <v>1569</v>
      </c>
      <c r="E1445" s="21" t="s">
        <v>17</v>
      </c>
      <c r="F1445" s="19" t="s">
        <v>18</v>
      </c>
      <c r="G1445" s="19" t="s">
        <v>19</v>
      </c>
      <c r="H1445" s="44">
        <v>45323</v>
      </c>
      <c r="I1445" s="19">
        <v>600</v>
      </c>
      <c r="J1445" s="24" t="s">
        <v>20</v>
      </c>
      <c r="K1445" s="19"/>
    </row>
    <row r="1446" ht="31" customHeight="1" spans="1:11">
      <c r="A1446" s="19">
        <v>1442</v>
      </c>
      <c r="B1446" s="19" t="s">
        <v>1253</v>
      </c>
      <c r="C1446" s="19" t="s">
        <v>1447</v>
      </c>
      <c r="D1446" s="19" t="s">
        <v>1570</v>
      </c>
      <c r="E1446" s="21" t="s">
        <v>17</v>
      </c>
      <c r="F1446" s="19" t="s">
        <v>18</v>
      </c>
      <c r="G1446" s="19" t="s">
        <v>19</v>
      </c>
      <c r="H1446" s="44">
        <v>45323</v>
      </c>
      <c r="I1446" s="19">
        <f>IF(F1446="是",VLOOKUP(G1446,[272]Sheet2!A:C,3,FALSE),VLOOKUP(G1446,[272]Sheet2!A:B,2,FALSE))</f>
        <v>600</v>
      </c>
      <c r="J1446" s="24" t="s">
        <v>20</v>
      </c>
      <c r="K1446" s="19"/>
    </row>
    <row r="1447" ht="31" customHeight="1" spans="1:11">
      <c r="A1447" s="19">
        <v>1443</v>
      </c>
      <c r="B1447" s="19" t="s">
        <v>1253</v>
      </c>
      <c r="C1447" s="19" t="s">
        <v>1447</v>
      </c>
      <c r="D1447" s="19" t="s">
        <v>1571</v>
      </c>
      <c r="E1447" s="21" t="s">
        <v>17</v>
      </c>
      <c r="F1447" s="19" t="s">
        <v>18</v>
      </c>
      <c r="G1447" s="19" t="s">
        <v>19</v>
      </c>
      <c r="H1447" s="44">
        <v>45383</v>
      </c>
      <c r="I1447" s="19">
        <f>IF(F1447="是",VLOOKUP(G1447,[273]Sheet2!A:C,3,FALSE),VLOOKUP(G1447,[273]Sheet2!A:B,2,FALSE))</f>
        <v>600</v>
      </c>
      <c r="J1447" s="24" t="s">
        <v>20</v>
      </c>
      <c r="K1447" s="19"/>
    </row>
    <row r="1448" ht="31" customHeight="1" spans="1:11">
      <c r="A1448" s="19">
        <v>1444</v>
      </c>
      <c r="B1448" s="19" t="s">
        <v>1253</v>
      </c>
      <c r="C1448" s="19" t="s">
        <v>1447</v>
      </c>
      <c r="D1448" s="19" t="s">
        <v>1572</v>
      </c>
      <c r="E1448" s="21" t="s">
        <v>17</v>
      </c>
      <c r="F1448" s="19" t="s">
        <v>18</v>
      </c>
      <c r="G1448" s="19" t="s">
        <v>19</v>
      </c>
      <c r="H1448" s="44">
        <v>45505</v>
      </c>
      <c r="I1448" s="19">
        <v>600</v>
      </c>
      <c r="J1448" s="24" t="s">
        <v>20</v>
      </c>
      <c r="K1448" s="19"/>
    </row>
    <row r="1449" ht="31" customHeight="1" spans="1:11">
      <c r="A1449" s="19">
        <v>1445</v>
      </c>
      <c r="B1449" s="19" t="s">
        <v>1253</v>
      </c>
      <c r="C1449" s="19" t="s">
        <v>1573</v>
      </c>
      <c r="D1449" s="19" t="s">
        <v>1574</v>
      </c>
      <c r="E1449" s="31" t="s">
        <v>17</v>
      </c>
      <c r="F1449" s="19" t="s">
        <v>18</v>
      </c>
      <c r="G1449" s="19" t="s">
        <v>32</v>
      </c>
      <c r="H1449" s="23">
        <v>45413</v>
      </c>
      <c r="I1449" s="19">
        <v>800</v>
      </c>
      <c r="J1449" s="24" t="s">
        <v>20</v>
      </c>
      <c r="K1449" s="19"/>
    </row>
    <row r="1450" ht="31" customHeight="1" spans="1:11">
      <c r="A1450" s="19">
        <v>1446</v>
      </c>
      <c r="B1450" s="19" t="s">
        <v>1253</v>
      </c>
      <c r="C1450" s="19" t="s">
        <v>1573</v>
      </c>
      <c r="D1450" s="19" t="s">
        <v>1575</v>
      </c>
      <c r="E1450" s="31" t="s">
        <v>17</v>
      </c>
      <c r="F1450" s="19" t="s">
        <v>18</v>
      </c>
      <c r="G1450" s="19" t="s">
        <v>19</v>
      </c>
      <c r="H1450" s="23">
        <v>45323</v>
      </c>
      <c r="I1450" s="19">
        <v>600</v>
      </c>
      <c r="J1450" s="24" t="s">
        <v>20</v>
      </c>
      <c r="K1450" s="19"/>
    </row>
    <row r="1451" ht="31" customHeight="1" spans="1:11">
      <c r="A1451" s="19">
        <v>1447</v>
      </c>
      <c r="B1451" s="19" t="s">
        <v>1253</v>
      </c>
      <c r="C1451" s="20" t="s">
        <v>1573</v>
      </c>
      <c r="D1451" s="20" t="s">
        <v>1576</v>
      </c>
      <c r="E1451" s="31" t="s">
        <v>17</v>
      </c>
      <c r="F1451" s="19" t="s">
        <v>18</v>
      </c>
      <c r="G1451" s="19" t="s">
        <v>19</v>
      </c>
      <c r="H1451" s="23">
        <v>45413</v>
      </c>
      <c r="I1451" s="19">
        <f>IF(F1451="是",VLOOKUP(G1451,[224]Sheet2!A:C,3,FALSE),VLOOKUP(G1451,[224]Sheet2!A:B,2,FALSE))</f>
        <v>600</v>
      </c>
      <c r="J1451" s="24" t="s">
        <v>20</v>
      </c>
      <c r="K1451" s="19"/>
    </row>
    <row r="1452" ht="31" customHeight="1" spans="1:11">
      <c r="A1452" s="19">
        <v>1448</v>
      </c>
      <c r="B1452" s="19" t="s">
        <v>1253</v>
      </c>
      <c r="C1452" s="19" t="s">
        <v>1573</v>
      </c>
      <c r="D1452" s="19" t="s">
        <v>1577</v>
      </c>
      <c r="E1452" s="31" t="s">
        <v>17</v>
      </c>
      <c r="F1452" s="19" t="s">
        <v>18</v>
      </c>
      <c r="G1452" s="19" t="s">
        <v>98</v>
      </c>
      <c r="H1452" s="23">
        <v>45383</v>
      </c>
      <c r="I1452" s="19">
        <v>800</v>
      </c>
      <c r="J1452" s="24" t="s">
        <v>20</v>
      </c>
      <c r="K1452" s="19"/>
    </row>
    <row r="1453" ht="31" customHeight="1" spans="1:11">
      <c r="A1453" s="19">
        <v>1449</v>
      </c>
      <c r="B1453" s="19" t="s">
        <v>1253</v>
      </c>
      <c r="C1453" s="19" t="s">
        <v>1573</v>
      </c>
      <c r="D1453" s="19" t="s">
        <v>1578</v>
      </c>
      <c r="E1453" s="31" t="s">
        <v>17</v>
      </c>
      <c r="F1453" s="19" t="s">
        <v>18</v>
      </c>
      <c r="G1453" s="19" t="s">
        <v>32</v>
      </c>
      <c r="H1453" s="23">
        <v>45292</v>
      </c>
      <c r="I1453" s="19">
        <v>800</v>
      </c>
      <c r="J1453" s="24" t="s">
        <v>20</v>
      </c>
      <c r="K1453" s="19"/>
    </row>
    <row r="1454" ht="31" customHeight="1" spans="1:11">
      <c r="A1454" s="19">
        <v>1450</v>
      </c>
      <c r="B1454" s="19" t="s">
        <v>1253</v>
      </c>
      <c r="C1454" s="20" t="s">
        <v>1573</v>
      </c>
      <c r="D1454" s="20" t="s">
        <v>1579</v>
      </c>
      <c r="E1454" s="31" t="s">
        <v>17</v>
      </c>
      <c r="F1454" s="19" t="s">
        <v>18</v>
      </c>
      <c r="G1454" s="19" t="s">
        <v>19</v>
      </c>
      <c r="H1454" s="23">
        <v>45383</v>
      </c>
      <c r="I1454" s="19">
        <v>600</v>
      </c>
      <c r="J1454" s="24" t="s">
        <v>20</v>
      </c>
      <c r="K1454" s="19"/>
    </row>
    <row r="1455" ht="31" customHeight="1" spans="1:11">
      <c r="A1455" s="19">
        <v>1451</v>
      </c>
      <c r="B1455" s="19" t="s">
        <v>1253</v>
      </c>
      <c r="C1455" s="20" t="s">
        <v>1573</v>
      </c>
      <c r="D1455" s="20" t="s">
        <v>1580</v>
      </c>
      <c r="E1455" s="31" t="s">
        <v>17</v>
      </c>
      <c r="F1455" s="19" t="s">
        <v>18</v>
      </c>
      <c r="G1455" s="19" t="s">
        <v>19</v>
      </c>
      <c r="H1455" s="23">
        <v>45352</v>
      </c>
      <c r="I1455" s="19">
        <v>600</v>
      </c>
      <c r="J1455" s="24" t="s">
        <v>20</v>
      </c>
      <c r="K1455" s="19"/>
    </row>
    <row r="1456" ht="31" customHeight="1" spans="1:11">
      <c r="A1456" s="19">
        <v>1452</v>
      </c>
      <c r="B1456" s="19" t="s">
        <v>1253</v>
      </c>
      <c r="C1456" s="19" t="s">
        <v>1581</v>
      </c>
      <c r="D1456" s="19" t="s">
        <v>1582</v>
      </c>
      <c r="E1456" s="31" t="s">
        <v>17</v>
      </c>
      <c r="F1456" s="19" t="s">
        <v>18</v>
      </c>
      <c r="G1456" s="19" t="s">
        <v>19</v>
      </c>
      <c r="H1456" s="23">
        <v>45348</v>
      </c>
      <c r="I1456" s="19">
        <f>IF(F1456="是",VLOOKUP(G1456,[236]Sheet2!A:C,3,FALSE),VLOOKUP(G1456,[236]Sheet2!A:B,2,FALSE))</f>
        <v>600</v>
      </c>
      <c r="J1456" s="24" t="s">
        <v>20</v>
      </c>
      <c r="K1456" s="19"/>
    </row>
    <row r="1457" ht="31" customHeight="1" spans="1:11">
      <c r="A1457" s="19">
        <v>1453</v>
      </c>
      <c r="B1457" s="19" t="s">
        <v>1253</v>
      </c>
      <c r="C1457" s="19" t="s">
        <v>1581</v>
      </c>
      <c r="D1457" s="19" t="s">
        <v>1583</v>
      </c>
      <c r="E1457" s="31" t="s">
        <v>17</v>
      </c>
      <c r="F1457" s="19" t="s">
        <v>18</v>
      </c>
      <c r="G1457" s="19" t="s">
        <v>29</v>
      </c>
      <c r="H1457" s="23">
        <v>45373</v>
      </c>
      <c r="I1457" s="19">
        <f>IF(F1457="是",VLOOKUP(G1457,[225]Sheet2!A:C,3,FALSE),VLOOKUP(G1457,[225]Sheet2!A:B,2,FALSE))</f>
        <v>800</v>
      </c>
      <c r="J1457" s="24" t="s">
        <v>20</v>
      </c>
      <c r="K1457" s="19"/>
    </row>
    <row r="1458" ht="31" customHeight="1" spans="1:11">
      <c r="A1458" s="19">
        <v>1454</v>
      </c>
      <c r="B1458" s="19" t="s">
        <v>1253</v>
      </c>
      <c r="C1458" s="19" t="s">
        <v>1581</v>
      </c>
      <c r="D1458" s="19" t="s">
        <v>1584</v>
      </c>
      <c r="E1458" s="31" t="s">
        <v>17</v>
      </c>
      <c r="F1458" s="19" t="s">
        <v>18</v>
      </c>
      <c r="G1458" s="35" t="s">
        <v>19</v>
      </c>
      <c r="H1458" s="23">
        <v>45348</v>
      </c>
      <c r="I1458" s="19">
        <v>600</v>
      </c>
      <c r="J1458" s="24" t="s">
        <v>20</v>
      </c>
      <c r="K1458" s="19"/>
    </row>
    <row r="1459" ht="31" customHeight="1" spans="1:11">
      <c r="A1459" s="19">
        <v>1455</v>
      </c>
      <c r="B1459" s="19" t="s">
        <v>1253</v>
      </c>
      <c r="C1459" s="19" t="s">
        <v>1581</v>
      </c>
      <c r="D1459" s="19" t="s">
        <v>1585</v>
      </c>
      <c r="E1459" s="31" t="s">
        <v>17</v>
      </c>
      <c r="F1459" s="19" t="s">
        <v>18</v>
      </c>
      <c r="G1459" s="35" t="s">
        <v>19</v>
      </c>
      <c r="H1459" s="23">
        <v>45360</v>
      </c>
      <c r="I1459" s="19">
        <v>600</v>
      </c>
      <c r="J1459" s="24" t="s">
        <v>20</v>
      </c>
      <c r="K1459" s="19"/>
    </row>
    <row r="1460" ht="31" customHeight="1" spans="1:11">
      <c r="A1460" s="19">
        <v>1456</v>
      </c>
      <c r="B1460" s="19" t="s">
        <v>1253</v>
      </c>
      <c r="C1460" s="19" t="s">
        <v>1581</v>
      </c>
      <c r="D1460" s="19" t="s">
        <v>1586</v>
      </c>
      <c r="E1460" s="31" t="s">
        <v>17</v>
      </c>
      <c r="F1460" s="19" t="s">
        <v>18</v>
      </c>
      <c r="G1460" s="35" t="s">
        <v>19</v>
      </c>
      <c r="H1460" s="23">
        <v>45383</v>
      </c>
      <c r="I1460" s="19">
        <v>600</v>
      </c>
      <c r="J1460" s="24" t="s">
        <v>20</v>
      </c>
      <c r="K1460" s="19"/>
    </row>
    <row r="1461" ht="31" customHeight="1" spans="1:11">
      <c r="A1461" s="19">
        <v>1457</v>
      </c>
      <c r="B1461" s="19" t="s">
        <v>1253</v>
      </c>
      <c r="C1461" s="19" t="s">
        <v>1581</v>
      </c>
      <c r="D1461" s="19" t="s">
        <v>1587</v>
      </c>
      <c r="E1461" s="31" t="s">
        <v>17</v>
      </c>
      <c r="F1461" s="19" t="s">
        <v>18</v>
      </c>
      <c r="G1461" s="19" t="s">
        <v>32</v>
      </c>
      <c r="H1461" s="23">
        <v>45323</v>
      </c>
      <c r="I1461" s="19">
        <v>800</v>
      </c>
      <c r="J1461" s="24" t="s">
        <v>20</v>
      </c>
      <c r="K1461" s="19"/>
    </row>
    <row r="1462" ht="31" customHeight="1" spans="1:11">
      <c r="A1462" s="19">
        <v>1458</v>
      </c>
      <c r="B1462" s="19" t="s">
        <v>1253</v>
      </c>
      <c r="C1462" s="19" t="s">
        <v>1581</v>
      </c>
      <c r="D1462" s="31" t="s">
        <v>1588</v>
      </c>
      <c r="E1462" s="31" t="s">
        <v>17</v>
      </c>
      <c r="F1462" s="31" t="s">
        <v>18</v>
      </c>
      <c r="G1462" s="31" t="s">
        <v>19</v>
      </c>
      <c r="H1462" s="23">
        <v>45368</v>
      </c>
      <c r="I1462" s="19">
        <f>IF(F1462="是",VLOOKUP(G1462,[226]Sheet2!A:C,3,FALSE),VLOOKUP(G1462,[226]Sheet2!A:B,2,FALSE))</f>
        <v>600</v>
      </c>
      <c r="J1462" s="24" t="s">
        <v>20</v>
      </c>
      <c r="K1462" s="19"/>
    </row>
    <row r="1463" ht="31" customHeight="1" spans="1:11">
      <c r="A1463" s="19">
        <v>1459</v>
      </c>
      <c r="B1463" s="19" t="s">
        <v>1253</v>
      </c>
      <c r="C1463" s="19" t="s">
        <v>1581</v>
      </c>
      <c r="D1463" s="31" t="s">
        <v>1589</v>
      </c>
      <c r="E1463" s="31" t="s">
        <v>17</v>
      </c>
      <c r="F1463" s="31" t="s">
        <v>18</v>
      </c>
      <c r="G1463" s="31" t="s">
        <v>19</v>
      </c>
      <c r="H1463" s="23">
        <v>45368</v>
      </c>
      <c r="I1463" s="35">
        <v>600</v>
      </c>
      <c r="J1463" s="24" t="s">
        <v>20</v>
      </c>
      <c r="K1463" s="19"/>
    </row>
    <row r="1464" ht="31" customHeight="1" spans="1:11">
      <c r="A1464" s="19">
        <v>1460</v>
      </c>
      <c r="B1464" s="19" t="s">
        <v>1253</v>
      </c>
      <c r="C1464" s="19" t="s">
        <v>1581</v>
      </c>
      <c r="D1464" s="31" t="s">
        <v>1590</v>
      </c>
      <c r="E1464" s="31" t="s">
        <v>17</v>
      </c>
      <c r="F1464" s="31" t="s">
        <v>18</v>
      </c>
      <c r="G1464" s="31" t="s">
        <v>19</v>
      </c>
      <c r="H1464" s="23">
        <v>45368</v>
      </c>
      <c r="I1464" s="19">
        <f>IF(F1464="是",VLOOKUP(G1464,[226]Sheet2!A:C,3,FALSE),VLOOKUP(G1464,[226]Sheet2!A:B,2,FALSE))</f>
        <v>600</v>
      </c>
      <c r="J1464" s="24" t="s">
        <v>20</v>
      </c>
      <c r="K1464" s="19"/>
    </row>
    <row r="1465" ht="31" customHeight="1" spans="1:11">
      <c r="A1465" s="19">
        <v>1461</v>
      </c>
      <c r="B1465" s="19" t="s">
        <v>1253</v>
      </c>
      <c r="C1465" s="19" t="s">
        <v>1581</v>
      </c>
      <c r="D1465" s="31" t="s">
        <v>1591</v>
      </c>
      <c r="E1465" s="31" t="s">
        <v>17</v>
      </c>
      <c r="F1465" s="31" t="s">
        <v>18</v>
      </c>
      <c r="G1465" s="31" t="s">
        <v>19</v>
      </c>
      <c r="H1465" s="23">
        <v>45368</v>
      </c>
      <c r="I1465" s="19">
        <f>IF(F1465="是",VLOOKUP(G1465,[226]Sheet2!A:C,3,FALSE),VLOOKUP(G1465,[226]Sheet2!A:B,2,FALSE))</f>
        <v>600</v>
      </c>
      <c r="J1465" s="24" t="s">
        <v>20</v>
      </c>
      <c r="K1465" s="19"/>
    </row>
    <row r="1466" ht="31" customHeight="1" spans="1:11">
      <c r="A1466" s="19">
        <v>1462</v>
      </c>
      <c r="B1466" s="19" t="s">
        <v>1253</v>
      </c>
      <c r="C1466" s="19" t="s">
        <v>1581</v>
      </c>
      <c r="D1466" s="19" t="s">
        <v>1592</v>
      </c>
      <c r="E1466" s="31" t="s">
        <v>17</v>
      </c>
      <c r="F1466" s="19" t="s">
        <v>18</v>
      </c>
      <c r="G1466" s="19" t="s">
        <v>29</v>
      </c>
      <c r="H1466" s="23">
        <v>45341</v>
      </c>
      <c r="I1466" s="19">
        <v>800</v>
      </c>
      <c r="J1466" s="24" t="s">
        <v>20</v>
      </c>
      <c r="K1466" s="19"/>
    </row>
    <row r="1467" ht="31" customHeight="1" spans="1:11">
      <c r="A1467" s="19">
        <v>1463</v>
      </c>
      <c r="B1467" s="19" t="s">
        <v>1253</v>
      </c>
      <c r="C1467" s="19" t="s">
        <v>1581</v>
      </c>
      <c r="D1467" s="19" t="s">
        <v>1593</v>
      </c>
      <c r="E1467" s="31" t="s">
        <v>17</v>
      </c>
      <c r="F1467" s="19" t="s">
        <v>18</v>
      </c>
      <c r="G1467" s="31" t="s">
        <v>19</v>
      </c>
      <c r="H1467" s="23">
        <v>45457</v>
      </c>
      <c r="I1467" s="19">
        <f>IF(F1467="是",VLOOKUP(G1467,[236]Sheet2!A:C,3,FALSE),VLOOKUP(G1467,[236]Sheet2!A:B,2,FALSE))</f>
        <v>600</v>
      </c>
      <c r="J1467" s="24" t="s">
        <v>20</v>
      </c>
      <c r="K1467" s="19"/>
    </row>
    <row r="1468" ht="31" customHeight="1" spans="1:11">
      <c r="A1468" s="19">
        <v>1464</v>
      </c>
      <c r="B1468" s="19" t="s">
        <v>1253</v>
      </c>
      <c r="C1468" s="19" t="s">
        <v>1581</v>
      </c>
      <c r="D1468" s="19" t="s">
        <v>1594</v>
      </c>
      <c r="E1468" s="31" t="s">
        <v>17</v>
      </c>
      <c r="F1468" s="19" t="s">
        <v>18</v>
      </c>
      <c r="G1468" s="31" t="s">
        <v>19</v>
      </c>
      <c r="H1468" s="23">
        <v>45355</v>
      </c>
      <c r="I1468" s="19">
        <f>IF(F1468="是",VLOOKUP(G1468,[236]Sheet2!A:C,3,FALSE),VLOOKUP(G1468,[236]Sheet2!A:B,2,FALSE))</f>
        <v>600</v>
      </c>
      <c r="J1468" s="24" t="s">
        <v>20</v>
      </c>
      <c r="K1468" s="19"/>
    </row>
    <row r="1469" ht="31" customHeight="1" spans="1:11">
      <c r="A1469" s="19">
        <v>1465</v>
      </c>
      <c r="B1469" s="19" t="s">
        <v>1253</v>
      </c>
      <c r="C1469" s="19" t="s">
        <v>1581</v>
      </c>
      <c r="D1469" s="19" t="s">
        <v>1595</v>
      </c>
      <c r="E1469" s="31" t="s">
        <v>17</v>
      </c>
      <c r="F1469" s="19" t="s">
        <v>18</v>
      </c>
      <c r="G1469" s="31" t="s">
        <v>19</v>
      </c>
      <c r="H1469" s="23">
        <v>45292</v>
      </c>
      <c r="I1469" s="19">
        <v>600</v>
      </c>
      <c r="J1469" s="24" t="s">
        <v>20</v>
      </c>
      <c r="K1469" s="19"/>
    </row>
    <row r="1470" ht="31" customHeight="1" spans="1:11">
      <c r="A1470" s="19">
        <v>1466</v>
      </c>
      <c r="B1470" s="19" t="s">
        <v>1253</v>
      </c>
      <c r="C1470" s="19" t="s">
        <v>1581</v>
      </c>
      <c r="D1470" s="19" t="s">
        <v>1596</v>
      </c>
      <c r="E1470" s="31" t="s">
        <v>17</v>
      </c>
      <c r="F1470" s="19" t="s">
        <v>18</v>
      </c>
      <c r="G1470" s="31" t="s">
        <v>19</v>
      </c>
      <c r="H1470" s="23">
        <v>45292</v>
      </c>
      <c r="I1470" s="19">
        <v>600</v>
      </c>
      <c r="J1470" s="24" t="s">
        <v>20</v>
      </c>
      <c r="K1470" s="19"/>
    </row>
    <row r="1471" ht="31" customHeight="1" spans="1:11">
      <c r="A1471" s="19">
        <v>1467</v>
      </c>
      <c r="B1471" s="19" t="s">
        <v>1253</v>
      </c>
      <c r="C1471" s="19" t="s">
        <v>1581</v>
      </c>
      <c r="D1471" s="19" t="s">
        <v>1597</v>
      </c>
      <c r="E1471" s="31" t="s">
        <v>17</v>
      </c>
      <c r="F1471" s="19" t="s">
        <v>18</v>
      </c>
      <c r="G1471" s="31" t="s">
        <v>19</v>
      </c>
      <c r="H1471" s="23">
        <v>45294</v>
      </c>
      <c r="I1471" s="19">
        <v>600</v>
      </c>
      <c r="J1471" s="24" t="s">
        <v>20</v>
      </c>
      <c r="K1471" s="19"/>
    </row>
    <row r="1472" ht="31" customHeight="1" spans="1:11">
      <c r="A1472" s="19">
        <v>1468</v>
      </c>
      <c r="B1472" s="19" t="s">
        <v>1253</v>
      </c>
      <c r="C1472" s="19" t="s">
        <v>1581</v>
      </c>
      <c r="D1472" s="19" t="s">
        <v>1598</v>
      </c>
      <c r="E1472" s="31" t="s">
        <v>17</v>
      </c>
      <c r="F1472" s="19" t="s">
        <v>18</v>
      </c>
      <c r="G1472" s="31" t="s">
        <v>19</v>
      </c>
      <c r="H1472" s="23">
        <v>45383</v>
      </c>
      <c r="I1472" s="19">
        <v>600</v>
      </c>
      <c r="J1472" s="24" t="s">
        <v>20</v>
      </c>
      <c r="K1472" s="19"/>
    </row>
    <row r="1473" ht="31" customHeight="1" spans="1:11">
      <c r="A1473" s="19">
        <v>1469</v>
      </c>
      <c r="B1473" s="19" t="s">
        <v>1253</v>
      </c>
      <c r="C1473" s="19" t="s">
        <v>1581</v>
      </c>
      <c r="D1473" s="19" t="s">
        <v>1599</v>
      </c>
      <c r="E1473" s="31" t="s">
        <v>17</v>
      </c>
      <c r="F1473" s="19" t="s">
        <v>18</v>
      </c>
      <c r="G1473" s="19" t="s">
        <v>19</v>
      </c>
      <c r="H1473" s="23">
        <v>45341</v>
      </c>
      <c r="I1473" s="19">
        <v>600</v>
      </c>
      <c r="J1473" s="24" t="s">
        <v>20</v>
      </c>
      <c r="K1473" s="19"/>
    </row>
    <row r="1474" ht="31" customHeight="1" spans="1:11">
      <c r="A1474" s="19">
        <v>1470</v>
      </c>
      <c r="B1474" s="19" t="s">
        <v>1253</v>
      </c>
      <c r="C1474" s="19" t="s">
        <v>1581</v>
      </c>
      <c r="D1474" s="19" t="s">
        <v>1600</v>
      </c>
      <c r="E1474" s="31" t="s">
        <v>17</v>
      </c>
      <c r="F1474" s="19" t="s">
        <v>18</v>
      </c>
      <c r="G1474" s="19" t="s">
        <v>19</v>
      </c>
      <c r="H1474" s="23">
        <v>45341</v>
      </c>
      <c r="I1474" s="19">
        <v>600</v>
      </c>
      <c r="J1474" s="24" t="s">
        <v>20</v>
      </c>
      <c r="K1474" s="19"/>
    </row>
    <row r="1475" ht="31" customHeight="1" spans="1:11">
      <c r="A1475" s="19">
        <v>1471</v>
      </c>
      <c r="B1475" s="19" t="s">
        <v>1253</v>
      </c>
      <c r="C1475" s="19" t="s">
        <v>1581</v>
      </c>
      <c r="D1475" s="19" t="s">
        <v>1601</v>
      </c>
      <c r="E1475" s="31" t="s">
        <v>17</v>
      </c>
      <c r="F1475" s="19" t="s">
        <v>18</v>
      </c>
      <c r="G1475" s="19" t="s">
        <v>19</v>
      </c>
      <c r="H1475" s="23">
        <v>45416</v>
      </c>
      <c r="I1475" s="19">
        <v>600</v>
      </c>
      <c r="J1475" s="24" t="s">
        <v>20</v>
      </c>
      <c r="K1475" s="19"/>
    </row>
    <row r="1476" ht="31" customHeight="1" spans="1:11">
      <c r="A1476" s="19">
        <v>1472</v>
      </c>
      <c r="B1476" s="19" t="s">
        <v>1253</v>
      </c>
      <c r="C1476" s="19" t="s">
        <v>1581</v>
      </c>
      <c r="D1476" s="19" t="s">
        <v>1602</v>
      </c>
      <c r="E1476" s="31" t="s">
        <v>17</v>
      </c>
      <c r="F1476" s="19" t="s">
        <v>18</v>
      </c>
      <c r="G1476" s="19" t="s">
        <v>32</v>
      </c>
      <c r="H1476" s="23">
        <v>45352</v>
      </c>
      <c r="I1476" s="19">
        <v>800</v>
      </c>
      <c r="J1476" s="24" t="s">
        <v>20</v>
      </c>
      <c r="K1476" s="19"/>
    </row>
    <row r="1477" ht="31" customHeight="1" spans="1:11">
      <c r="A1477" s="19">
        <v>1473</v>
      </c>
      <c r="B1477" s="19" t="s">
        <v>1253</v>
      </c>
      <c r="C1477" s="19" t="s">
        <v>1581</v>
      </c>
      <c r="D1477" s="19" t="s">
        <v>1603</v>
      </c>
      <c r="E1477" s="31" t="s">
        <v>17</v>
      </c>
      <c r="F1477" s="19" t="s">
        <v>18</v>
      </c>
      <c r="G1477" s="19" t="s">
        <v>32</v>
      </c>
      <c r="H1477" s="23">
        <v>45352</v>
      </c>
      <c r="I1477" s="19">
        <v>800</v>
      </c>
      <c r="J1477" s="24" t="s">
        <v>20</v>
      </c>
      <c r="K1477" s="19"/>
    </row>
    <row r="1478" ht="31" customHeight="1" spans="1:11">
      <c r="A1478" s="19">
        <v>1474</v>
      </c>
      <c r="B1478" s="19" t="s">
        <v>1253</v>
      </c>
      <c r="C1478" s="19" t="s">
        <v>1581</v>
      </c>
      <c r="D1478" s="19" t="s">
        <v>1604</v>
      </c>
      <c r="E1478" s="31" t="s">
        <v>17</v>
      </c>
      <c r="F1478" s="19" t="s">
        <v>18</v>
      </c>
      <c r="G1478" s="19" t="s">
        <v>19</v>
      </c>
      <c r="H1478" s="23">
        <v>45323</v>
      </c>
      <c r="I1478" s="19">
        <f>IF(F1478="是",VLOOKUP(G1478,[227]Sheet2!A:C,3,FALSE),VLOOKUP(G1478,[227]Sheet2!A:B,2,FALSE))</f>
        <v>600</v>
      </c>
      <c r="J1478" s="24" t="s">
        <v>20</v>
      </c>
      <c r="K1478" s="19"/>
    </row>
    <row r="1479" ht="31" customHeight="1" spans="1:11">
      <c r="A1479" s="19">
        <v>1475</v>
      </c>
      <c r="B1479" s="19" t="s">
        <v>1253</v>
      </c>
      <c r="C1479" s="19" t="s">
        <v>1581</v>
      </c>
      <c r="D1479" s="19" t="s">
        <v>1605</v>
      </c>
      <c r="E1479" s="31" t="s">
        <v>17</v>
      </c>
      <c r="F1479" s="19" t="s">
        <v>18</v>
      </c>
      <c r="G1479" s="19" t="s">
        <v>19</v>
      </c>
      <c r="H1479" s="23">
        <v>45339</v>
      </c>
      <c r="I1479" s="19">
        <f>IF(F1479="是",VLOOKUP(G1479,[227]Sheet2!A:C,3,FALSE),VLOOKUP(G1479,[227]Sheet2!A:B,2,FALSE))</f>
        <v>600</v>
      </c>
      <c r="J1479" s="24" t="s">
        <v>20</v>
      </c>
      <c r="K1479" s="19"/>
    </row>
    <row r="1480" ht="31" customHeight="1" spans="1:11">
      <c r="A1480" s="19">
        <v>1476</v>
      </c>
      <c r="B1480" s="19" t="s">
        <v>1253</v>
      </c>
      <c r="C1480" s="19" t="s">
        <v>1581</v>
      </c>
      <c r="D1480" s="19" t="s">
        <v>1606</v>
      </c>
      <c r="E1480" s="31" t="s">
        <v>17</v>
      </c>
      <c r="F1480" s="19" t="s">
        <v>18</v>
      </c>
      <c r="G1480" s="19" t="s">
        <v>38</v>
      </c>
      <c r="H1480" s="23">
        <v>45341</v>
      </c>
      <c r="I1480" s="19">
        <f>IF(F1480="是",VLOOKUP(G1480,[227]Sheet2!A:C,3,FALSE),VLOOKUP(G1480,[227]Sheet2!A:B,2,FALSE))</f>
        <v>600</v>
      </c>
      <c r="J1480" s="24" t="s">
        <v>20</v>
      </c>
      <c r="K1480" s="19"/>
    </row>
    <row r="1481" ht="31" customHeight="1" spans="1:11">
      <c r="A1481" s="19">
        <v>1477</v>
      </c>
      <c r="B1481" s="19" t="s">
        <v>1253</v>
      </c>
      <c r="C1481" s="19" t="s">
        <v>1581</v>
      </c>
      <c r="D1481" s="19" t="s">
        <v>1607</v>
      </c>
      <c r="E1481" s="31" t="s">
        <v>17</v>
      </c>
      <c r="F1481" s="19" t="s">
        <v>18</v>
      </c>
      <c r="G1481" s="19" t="s">
        <v>19</v>
      </c>
      <c r="H1481" s="23">
        <v>45341</v>
      </c>
      <c r="I1481" s="19">
        <f>IF(F1481="是",VLOOKUP(G1481,[228]Sheet2!A:C,3,FALSE),VLOOKUP(G1481,[228]Sheet2!A:B,2,FALSE))</f>
        <v>600</v>
      </c>
      <c r="J1481" s="24" t="s">
        <v>20</v>
      </c>
      <c r="K1481" s="19"/>
    </row>
    <row r="1482" ht="31" customHeight="1" spans="1:11">
      <c r="A1482" s="19">
        <v>1478</v>
      </c>
      <c r="B1482" s="19" t="s">
        <v>1253</v>
      </c>
      <c r="C1482" s="19" t="s">
        <v>1581</v>
      </c>
      <c r="D1482" s="47" t="s">
        <v>1608</v>
      </c>
      <c r="E1482" s="31" t="s">
        <v>17</v>
      </c>
      <c r="F1482" s="47" t="s">
        <v>18</v>
      </c>
      <c r="G1482" s="47" t="s">
        <v>19</v>
      </c>
      <c r="H1482" s="23">
        <v>45383</v>
      </c>
      <c r="I1482" s="19">
        <f>IF(F1482="是",VLOOKUP(G1482,[229]Sheet2!A:C,3,FALSE),VLOOKUP(G1482,[229]Sheet2!A:B,2,FALSE))</f>
        <v>600</v>
      </c>
      <c r="J1482" s="24" t="s">
        <v>20</v>
      </c>
      <c r="K1482" s="19"/>
    </row>
    <row r="1483" ht="31" customHeight="1" spans="1:11">
      <c r="A1483" s="19">
        <v>1479</v>
      </c>
      <c r="B1483" s="19" t="s">
        <v>1253</v>
      </c>
      <c r="C1483" s="19" t="s">
        <v>1581</v>
      </c>
      <c r="D1483" s="47" t="s">
        <v>1609</v>
      </c>
      <c r="E1483" s="31" t="s">
        <v>17</v>
      </c>
      <c r="F1483" s="47" t="s">
        <v>18</v>
      </c>
      <c r="G1483" s="47" t="s">
        <v>19</v>
      </c>
      <c r="H1483" s="23">
        <v>45322</v>
      </c>
      <c r="I1483" s="19">
        <f>IF(F1483="是",VLOOKUP(G1483,[229]Sheet2!A:C,3,FALSE),VLOOKUP(G1483,[229]Sheet2!A:B,2,FALSE))</f>
        <v>600</v>
      </c>
      <c r="J1483" s="24" t="s">
        <v>20</v>
      </c>
      <c r="K1483" s="19"/>
    </row>
    <row r="1484" ht="31" customHeight="1" spans="1:11">
      <c r="A1484" s="19">
        <v>1480</v>
      </c>
      <c r="B1484" s="19" t="s">
        <v>1253</v>
      </c>
      <c r="C1484" s="19" t="s">
        <v>1581</v>
      </c>
      <c r="D1484" s="19" t="s">
        <v>1610</v>
      </c>
      <c r="E1484" s="31" t="s">
        <v>17</v>
      </c>
      <c r="F1484" s="19" t="s">
        <v>18</v>
      </c>
      <c r="G1484" s="19" t="s">
        <v>19</v>
      </c>
      <c r="H1484" s="23">
        <v>45341</v>
      </c>
      <c r="I1484" s="19">
        <f>IF(F1484="是",VLOOKUP(G1484,[227]Sheet2!A:C,3,FALSE),VLOOKUP(G1484,[227]Sheet2!A:B,2,FALSE))</f>
        <v>600</v>
      </c>
      <c r="J1484" s="24" t="s">
        <v>20</v>
      </c>
      <c r="K1484" s="19"/>
    </row>
    <row r="1485" ht="31" customHeight="1" spans="1:11">
      <c r="A1485" s="19">
        <v>1481</v>
      </c>
      <c r="B1485" s="19" t="s">
        <v>1253</v>
      </c>
      <c r="C1485" s="19" t="s">
        <v>1581</v>
      </c>
      <c r="D1485" s="31" t="s">
        <v>1611</v>
      </c>
      <c r="E1485" s="31" t="s">
        <v>17</v>
      </c>
      <c r="F1485" s="31" t="s">
        <v>18</v>
      </c>
      <c r="G1485" s="31" t="s">
        <v>19</v>
      </c>
      <c r="H1485" s="23">
        <v>45337</v>
      </c>
      <c r="I1485" s="19">
        <f>IF(F1485="是",VLOOKUP(G1485,[230]Sheet2!A:C,3,FALSE),VLOOKUP(G1485,[230]Sheet2!A:B,2,FALSE))</f>
        <v>600</v>
      </c>
      <c r="J1485" s="24" t="s">
        <v>20</v>
      </c>
      <c r="K1485" s="19"/>
    </row>
    <row r="1486" ht="31" customHeight="1" spans="1:11">
      <c r="A1486" s="19">
        <v>1482</v>
      </c>
      <c r="B1486" s="19" t="s">
        <v>1253</v>
      </c>
      <c r="C1486" s="19" t="s">
        <v>1581</v>
      </c>
      <c r="D1486" s="19" t="s">
        <v>1612</v>
      </c>
      <c r="E1486" s="31" t="s">
        <v>17</v>
      </c>
      <c r="F1486" s="31" t="s">
        <v>18</v>
      </c>
      <c r="G1486" s="19" t="s">
        <v>1613</v>
      </c>
      <c r="H1486" s="23">
        <v>45387</v>
      </c>
      <c r="I1486" s="19">
        <v>800</v>
      </c>
      <c r="J1486" s="24" t="s">
        <v>20</v>
      </c>
      <c r="K1486" s="19"/>
    </row>
    <row r="1487" ht="31" customHeight="1" spans="1:11">
      <c r="A1487" s="19">
        <v>1483</v>
      </c>
      <c r="B1487" s="19" t="s">
        <v>1253</v>
      </c>
      <c r="C1487" s="19" t="s">
        <v>1581</v>
      </c>
      <c r="D1487" s="19" t="s">
        <v>1614</v>
      </c>
      <c r="E1487" s="31" t="s">
        <v>17</v>
      </c>
      <c r="F1487" s="19" t="s">
        <v>18</v>
      </c>
      <c r="G1487" s="19" t="s">
        <v>19</v>
      </c>
      <c r="H1487" s="23">
        <v>45413</v>
      </c>
      <c r="I1487" s="19">
        <v>600</v>
      </c>
      <c r="J1487" s="24" t="s">
        <v>20</v>
      </c>
      <c r="K1487" s="19"/>
    </row>
    <row r="1488" ht="31" customHeight="1" spans="1:11">
      <c r="A1488" s="19">
        <v>1484</v>
      </c>
      <c r="B1488" s="20" t="s">
        <v>1253</v>
      </c>
      <c r="C1488" s="20" t="s">
        <v>1581</v>
      </c>
      <c r="D1488" s="20" t="s">
        <v>1615</v>
      </c>
      <c r="E1488" s="31" t="s">
        <v>17</v>
      </c>
      <c r="F1488" s="20" t="s">
        <v>18</v>
      </c>
      <c r="G1488" s="20" t="s">
        <v>19</v>
      </c>
      <c r="H1488" s="23">
        <v>45352</v>
      </c>
      <c r="I1488" s="19">
        <v>600</v>
      </c>
      <c r="J1488" s="24" t="s">
        <v>20</v>
      </c>
      <c r="K1488" s="19"/>
    </row>
    <row r="1489" ht="31" customHeight="1" spans="1:11">
      <c r="A1489" s="19">
        <v>1485</v>
      </c>
      <c r="B1489" s="19" t="s">
        <v>1253</v>
      </c>
      <c r="C1489" s="19" t="s">
        <v>1581</v>
      </c>
      <c r="D1489" s="19" t="s">
        <v>1616</v>
      </c>
      <c r="E1489" s="31" t="s">
        <v>17</v>
      </c>
      <c r="F1489" s="19" t="s">
        <v>18</v>
      </c>
      <c r="G1489" s="19" t="s">
        <v>19</v>
      </c>
      <c r="H1489" s="23">
        <v>45371</v>
      </c>
      <c r="I1489" s="19">
        <v>600</v>
      </c>
      <c r="J1489" s="24" t="s">
        <v>20</v>
      </c>
      <c r="K1489" s="19"/>
    </row>
    <row r="1490" ht="31" customHeight="1" spans="1:11">
      <c r="A1490" s="19">
        <v>1486</v>
      </c>
      <c r="B1490" s="19" t="s">
        <v>1253</v>
      </c>
      <c r="C1490" s="19" t="s">
        <v>1581</v>
      </c>
      <c r="D1490" s="19" t="s">
        <v>1617</v>
      </c>
      <c r="E1490" s="31" t="s">
        <v>17</v>
      </c>
      <c r="F1490" s="19" t="s">
        <v>18</v>
      </c>
      <c r="G1490" s="19" t="s">
        <v>19</v>
      </c>
      <c r="H1490" s="23">
        <v>45384</v>
      </c>
      <c r="I1490" s="19">
        <f>IF(F1490="是",VLOOKUP(G1490,[231]Sheet2!A:C,3,FALSE),VLOOKUP(G1490,[231]Sheet2!A:B,2,FALSE))</f>
        <v>600</v>
      </c>
      <c r="J1490" s="24" t="s">
        <v>20</v>
      </c>
      <c r="K1490" s="19"/>
    </row>
    <row r="1491" ht="31" customHeight="1" spans="1:11">
      <c r="A1491" s="19">
        <v>1487</v>
      </c>
      <c r="B1491" s="19" t="s">
        <v>1253</v>
      </c>
      <c r="C1491" s="19" t="s">
        <v>1581</v>
      </c>
      <c r="D1491" s="19" t="s">
        <v>1618</v>
      </c>
      <c r="E1491" s="31" t="s">
        <v>17</v>
      </c>
      <c r="F1491" s="19" t="s">
        <v>18</v>
      </c>
      <c r="G1491" s="19" t="s">
        <v>19</v>
      </c>
      <c r="H1491" s="23">
        <v>45323</v>
      </c>
      <c r="I1491" s="19">
        <f>IF(F1491="是",VLOOKUP(G1491,[232]Sheet2!A:C,3,FALSE),VLOOKUP(G1491,[232]Sheet2!A:B,2,FALSE))</f>
        <v>600</v>
      </c>
      <c r="J1491" s="24" t="s">
        <v>20</v>
      </c>
      <c r="K1491" s="19"/>
    </row>
    <row r="1492" ht="31" customHeight="1" spans="1:11">
      <c r="A1492" s="19">
        <v>1488</v>
      </c>
      <c r="B1492" s="19" t="s">
        <v>1253</v>
      </c>
      <c r="C1492" s="19" t="s">
        <v>1581</v>
      </c>
      <c r="D1492" s="19" t="s">
        <v>1619</v>
      </c>
      <c r="E1492" s="31" t="s">
        <v>17</v>
      </c>
      <c r="F1492" s="19" t="s">
        <v>18</v>
      </c>
      <c r="G1492" s="19" t="s">
        <v>19</v>
      </c>
      <c r="H1492" s="23">
        <v>45323</v>
      </c>
      <c r="I1492" s="19">
        <f>IF(F1492="是",VLOOKUP(G1492,[232]Sheet2!A:C,3,FALSE),VLOOKUP(G1492,[232]Sheet2!A:B,2,FALSE))</f>
        <v>600</v>
      </c>
      <c r="J1492" s="24" t="s">
        <v>20</v>
      </c>
      <c r="K1492" s="19"/>
    </row>
    <row r="1493" ht="31" customHeight="1" spans="1:11">
      <c r="A1493" s="19">
        <v>1489</v>
      </c>
      <c r="B1493" s="20" t="s">
        <v>1253</v>
      </c>
      <c r="C1493" s="20" t="s">
        <v>1581</v>
      </c>
      <c r="D1493" s="20" t="s">
        <v>1620</v>
      </c>
      <c r="E1493" s="31" t="s">
        <v>17</v>
      </c>
      <c r="F1493" s="20" t="s">
        <v>18</v>
      </c>
      <c r="G1493" s="20" t="s">
        <v>19</v>
      </c>
      <c r="H1493" s="23">
        <v>45355</v>
      </c>
      <c r="I1493" s="19">
        <f>IF(F1493="是",VLOOKUP(G1493,[233]Sheet2!A:C,3,FALSE),VLOOKUP(G1493,[233]Sheet2!A:B,2,FALSE))</f>
        <v>600</v>
      </c>
      <c r="J1493" s="24" t="s">
        <v>20</v>
      </c>
      <c r="K1493" s="19"/>
    </row>
    <row r="1494" ht="31" customHeight="1" spans="1:11">
      <c r="A1494" s="19">
        <v>1490</v>
      </c>
      <c r="B1494" s="19" t="s">
        <v>1253</v>
      </c>
      <c r="C1494" s="19" t="s">
        <v>1581</v>
      </c>
      <c r="D1494" s="19" t="s">
        <v>1621</v>
      </c>
      <c r="E1494" s="31" t="s">
        <v>17</v>
      </c>
      <c r="F1494" s="19" t="s">
        <v>18</v>
      </c>
      <c r="G1494" s="19" t="s">
        <v>19</v>
      </c>
      <c r="H1494" s="23">
        <v>45352</v>
      </c>
      <c r="I1494" s="19">
        <v>600</v>
      </c>
      <c r="J1494" s="24" t="s">
        <v>20</v>
      </c>
      <c r="K1494" s="19"/>
    </row>
    <row r="1495" ht="31" customHeight="1" spans="1:11">
      <c r="A1495" s="19">
        <v>1491</v>
      </c>
      <c r="B1495" s="19" t="s">
        <v>1253</v>
      </c>
      <c r="C1495" s="19" t="s">
        <v>1581</v>
      </c>
      <c r="D1495" s="19" t="s">
        <v>1622</v>
      </c>
      <c r="E1495" s="31" t="s">
        <v>17</v>
      </c>
      <c r="F1495" s="19" t="s">
        <v>18</v>
      </c>
      <c r="G1495" s="19" t="s">
        <v>19</v>
      </c>
      <c r="H1495" s="23">
        <v>45352</v>
      </c>
      <c r="I1495" s="19">
        <v>600</v>
      </c>
      <c r="J1495" s="24" t="s">
        <v>20</v>
      </c>
      <c r="K1495" s="19"/>
    </row>
    <row r="1496" ht="31" customHeight="1" spans="1:11">
      <c r="A1496" s="19">
        <v>1492</v>
      </c>
      <c r="B1496" s="19" t="s">
        <v>1253</v>
      </c>
      <c r="C1496" s="19" t="s">
        <v>1581</v>
      </c>
      <c r="D1496" s="19" t="s">
        <v>1623</v>
      </c>
      <c r="E1496" s="31" t="s">
        <v>17</v>
      </c>
      <c r="F1496" s="19" t="s">
        <v>18</v>
      </c>
      <c r="G1496" s="19" t="s">
        <v>19</v>
      </c>
      <c r="H1496" s="23">
        <v>45323</v>
      </c>
      <c r="I1496" s="19">
        <f>IF(F1496="是",VLOOKUP(G1496,[234]Sheet2!A:C,3,FALSE),VLOOKUP(G1496,[234]Sheet2!A:B,2,FALSE))</f>
        <v>600</v>
      </c>
      <c r="J1496" s="24" t="s">
        <v>20</v>
      </c>
      <c r="K1496" s="19"/>
    </row>
    <row r="1497" ht="31" customHeight="1" spans="1:11">
      <c r="A1497" s="19">
        <v>1493</v>
      </c>
      <c r="B1497" s="19" t="s">
        <v>1253</v>
      </c>
      <c r="C1497" s="19" t="s">
        <v>1581</v>
      </c>
      <c r="D1497" s="19" t="s">
        <v>1624</v>
      </c>
      <c r="E1497" s="31" t="s">
        <v>17</v>
      </c>
      <c r="F1497" s="19" t="s">
        <v>18</v>
      </c>
      <c r="G1497" s="19" t="s">
        <v>19</v>
      </c>
      <c r="H1497" s="23">
        <v>45292</v>
      </c>
      <c r="I1497" s="19">
        <f>IF(F1497="是",VLOOKUP(G1497,[235]Sheet2!A:C,3,FALSE),VLOOKUP(G1497,[235]Sheet2!A:B,2,FALSE))</f>
        <v>600</v>
      </c>
      <c r="J1497" s="24" t="s">
        <v>20</v>
      </c>
      <c r="K1497" s="19"/>
    </row>
    <row r="1498" ht="31" customHeight="1" spans="1:11">
      <c r="A1498" s="19">
        <v>1494</v>
      </c>
      <c r="B1498" s="19" t="s">
        <v>1253</v>
      </c>
      <c r="C1498" s="19" t="s">
        <v>1581</v>
      </c>
      <c r="D1498" s="19" t="s">
        <v>1625</v>
      </c>
      <c r="E1498" s="31" t="s">
        <v>17</v>
      </c>
      <c r="F1498" s="19" t="s">
        <v>18</v>
      </c>
      <c r="G1498" s="19" t="s">
        <v>98</v>
      </c>
      <c r="H1498" s="23">
        <v>45352</v>
      </c>
      <c r="I1498" s="19">
        <f>IF(F1498="是",VLOOKUP(G1498,[235]Sheet2!A:C,3,FALSE),VLOOKUP(G1498,[235]Sheet2!A:B,2,FALSE))</f>
        <v>800</v>
      </c>
      <c r="J1498" s="24" t="s">
        <v>20</v>
      </c>
      <c r="K1498" s="19"/>
    </row>
    <row r="1499" ht="31" customHeight="1" spans="1:11">
      <c r="A1499" s="19">
        <v>1495</v>
      </c>
      <c r="B1499" s="19" t="s">
        <v>1253</v>
      </c>
      <c r="C1499" s="19" t="s">
        <v>1581</v>
      </c>
      <c r="D1499" s="19" t="s">
        <v>1626</v>
      </c>
      <c r="E1499" s="31" t="s">
        <v>17</v>
      </c>
      <c r="F1499" s="19" t="s">
        <v>18</v>
      </c>
      <c r="G1499" s="19" t="s">
        <v>32</v>
      </c>
      <c r="H1499" s="23">
        <v>45323</v>
      </c>
      <c r="I1499" s="19">
        <v>800</v>
      </c>
      <c r="J1499" s="24" t="s">
        <v>20</v>
      </c>
      <c r="K1499" s="19"/>
    </row>
    <row r="1500" ht="31" customHeight="1" spans="1:11">
      <c r="A1500" s="19">
        <v>1496</v>
      </c>
      <c r="B1500" s="19" t="s">
        <v>1253</v>
      </c>
      <c r="C1500" s="19" t="s">
        <v>1581</v>
      </c>
      <c r="D1500" s="19" t="s">
        <v>1627</v>
      </c>
      <c r="E1500" s="31" t="s">
        <v>17</v>
      </c>
      <c r="F1500" s="19" t="s">
        <v>18</v>
      </c>
      <c r="G1500" s="19" t="s">
        <v>19</v>
      </c>
      <c r="H1500" s="23">
        <v>45323</v>
      </c>
      <c r="I1500" s="19">
        <v>600</v>
      </c>
      <c r="J1500" s="24" t="s">
        <v>20</v>
      </c>
      <c r="K1500" s="19"/>
    </row>
    <row r="1501" ht="31" customHeight="1" spans="1:11">
      <c r="A1501" s="19">
        <v>1497</v>
      </c>
      <c r="B1501" s="19" t="s">
        <v>1253</v>
      </c>
      <c r="C1501" s="19" t="s">
        <v>1581</v>
      </c>
      <c r="D1501" s="19" t="s">
        <v>1628</v>
      </c>
      <c r="E1501" s="31" t="s">
        <v>17</v>
      </c>
      <c r="F1501" s="19" t="s">
        <v>18</v>
      </c>
      <c r="G1501" s="19" t="s">
        <v>19</v>
      </c>
      <c r="H1501" s="37">
        <v>45323</v>
      </c>
      <c r="I1501" s="19">
        <f>IF(F1501="是",VLOOKUP(G1501,[254]Sheet2!A:C,3,FALSE),VLOOKUP(G1501,[254]Sheet2!A:B,2,FALSE))</f>
        <v>600</v>
      </c>
      <c r="J1501" s="24" t="s">
        <v>20</v>
      </c>
      <c r="K1501" s="19"/>
    </row>
    <row r="1502" ht="31" customHeight="1" spans="1:11">
      <c r="A1502" s="19">
        <v>1498</v>
      </c>
      <c r="B1502" s="19" t="s">
        <v>1253</v>
      </c>
      <c r="C1502" s="19" t="s">
        <v>1581</v>
      </c>
      <c r="D1502" s="19" t="s">
        <v>1629</v>
      </c>
      <c r="E1502" s="31" t="s">
        <v>17</v>
      </c>
      <c r="F1502" s="19" t="s">
        <v>18</v>
      </c>
      <c r="G1502" s="19" t="s">
        <v>19</v>
      </c>
      <c r="H1502" s="37">
        <v>45342</v>
      </c>
      <c r="I1502" s="19">
        <f>IF(F1502="是",VLOOKUP(G1502,[254]Sheet2!A:C,3,FALSE),VLOOKUP(G1502,[254]Sheet2!A:B,2,FALSE))</f>
        <v>600</v>
      </c>
      <c r="J1502" s="24" t="s">
        <v>20</v>
      </c>
      <c r="K1502" s="19"/>
    </row>
    <row r="1503" ht="31" customHeight="1" spans="1:11">
      <c r="A1503" s="19">
        <v>1499</v>
      </c>
      <c r="B1503" s="19" t="s">
        <v>1253</v>
      </c>
      <c r="C1503" s="19" t="s">
        <v>1581</v>
      </c>
      <c r="D1503" s="19" t="s">
        <v>1630</v>
      </c>
      <c r="E1503" s="31" t="s">
        <v>17</v>
      </c>
      <c r="F1503" s="19" t="s">
        <v>18</v>
      </c>
      <c r="G1503" s="19" t="s">
        <v>19</v>
      </c>
      <c r="H1503" s="37">
        <v>45360</v>
      </c>
      <c r="I1503" s="19">
        <f>IF(F1503="是",VLOOKUP(G1503,[254]Sheet2!A:C,3,FALSE),VLOOKUP(G1503,[254]Sheet2!A:B,2,FALSE))</f>
        <v>600</v>
      </c>
      <c r="J1503" s="24" t="s">
        <v>20</v>
      </c>
      <c r="K1503" s="19"/>
    </row>
    <row r="1504" ht="31" customHeight="1" spans="1:11">
      <c r="A1504" s="19">
        <v>1500</v>
      </c>
      <c r="B1504" s="19" t="s">
        <v>1253</v>
      </c>
      <c r="C1504" s="19" t="s">
        <v>1581</v>
      </c>
      <c r="D1504" s="19" t="s">
        <v>1631</v>
      </c>
      <c r="E1504" s="31" t="s">
        <v>17</v>
      </c>
      <c r="F1504" s="19" t="s">
        <v>18</v>
      </c>
      <c r="G1504" s="19" t="s">
        <v>19</v>
      </c>
      <c r="H1504" s="23">
        <v>45292</v>
      </c>
      <c r="I1504" s="19">
        <v>600</v>
      </c>
      <c r="J1504" s="24" t="s">
        <v>20</v>
      </c>
      <c r="K1504" s="19"/>
    </row>
    <row r="1505" ht="31" customHeight="1" spans="1:11">
      <c r="A1505" s="19">
        <v>1501</v>
      </c>
      <c r="B1505" s="19" t="s">
        <v>1253</v>
      </c>
      <c r="C1505" s="19" t="s">
        <v>1581</v>
      </c>
      <c r="D1505" s="19" t="s">
        <v>1632</v>
      </c>
      <c r="E1505" s="31" t="s">
        <v>17</v>
      </c>
      <c r="F1505" s="19" t="s">
        <v>18</v>
      </c>
      <c r="G1505" s="19" t="s">
        <v>19</v>
      </c>
      <c r="H1505" s="23">
        <v>45352</v>
      </c>
      <c r="I1505" s="19">
        <v>600</v>
      </c>
      <c r="J1505" s="24" t="s">
        <v>20</v>
      </c>
      <c r="K1505" s="19"/>
    </row>
    <row r="1506" ht="31" customHeight="1" spans="1:11">
      <c r="A1506" s="19">
        <v>1502</v>
      </c>
      <c r="B1506" s="19" t="s">
        <v>1253</v>
      </c>
      <c r="C1506" s="19" t="s">
        <v>1581</v>
      </c>
      <c r="D1506" s="19" t="s">
        <v>1633</v>
      </c>
      <c r="E1506" s="31" t="s">
        <v>17</v>
      </c>
      <c r="F1506" s="19" t="s">
        <v>18</v>
      </c>
      <c r="G1506" s="19" t="s">
        <v>19</v>
      </c>
      <c r="H1506" s="37">
        <v>45323</v>
      </c>
      <c r="I1506" s="19">
        <f>IF(F1506="是",VLOOKUP(G1506,[271]Sheet2!A:C,3,FALSE),VLOOKUP(G1506,[271]Sheet2!A:B,2,FALSE))</f>
        <v>600</v>
      </c>
      <c r="J1506" s="24" t="s">
        <v>20</v>
      </c>
      <c r="K1506" s="19"/>
    </row>
    <row r="1507" ht="31" customHeight="1" spans="1:11">
      <c r="A1507" s="19">
        <v>1503</v>
      </c>
      <c r="B1507" s="19" t="s">
        <v>1253</v>
      </c>
      <c r="C1507" s="19" t="s">
        <v>1581</v>
      </c>
      <c r="D1507" s="19" t="s">
        <v>1634</v>
      </c>
      <c r="E1507" s="31" t="s">
        <v>17</v>
      </c>
      <c r="F1507" s="19" t="s">
        <v>18</v>
      </c>
      <c r="G1507" s="19" t="s">
        <v>19</v>
      </c>
      <c r="H1507" s="37">
        <v>45352</v>
      </c>
      <c r="I1507" s="19">
        <f>IF(F1507="是",VLOOKUP(G1507,[271]Sheet2!A:C,3,FALSE),VLOOKUP(G1507,[271]Sheet2!A:B,2,FALSE))</f>
        <v>600</v>
      </c>
      <c r="J1507" s="24" t="s">
        <v>20</v>
      </c>
      <c r="K1507" s="19"/>
    </row>
    <row r="1508" ht="31" customHeight="1" spans="1:11">
      <c r="A1508" s="19">
        <v>1504</v>
      </c>
      <c r="B1508" s="19" t="s">
        <v>1253</v>
      </c>
      <c r="C1508" s="19" t="s">
        <v>1581</v>
      </c>
      <c r="D1508" s="19" t="s">
        <v>1635</v>
      </c>
      <c r="E1508" s="31" t="s">
        <v>17</v>
      </c>
      <c r="F1508" s="19" t="s">
        <v>18</v>
      </c>
      <c r="G1508" s="19" t="s">
        <v>19</v>
      </c>
      <c r="H1508" s="37">
        <v>45352</v>
      </c>
      <c r="I1508" s="19">
        <f>IF(F1508="是",VLOOKUP(G1508,[271]Sheet2!A:C,3,FALSE),VLOOKUP(G1508,[271]Sheet2!A:B,2,FALSE))</f>
        <v>600</v>
      </c>
      <c r="J1508" s="24" t="s">
        <v>20</v>
      </c>
      <c r="K1508" s="19"/>
    </row>
    <row r="1509" ht="31" customHeight="1" spans="1:11">
      <c r="A1509" s="19">
        <v>1505</v>
      </c>
      <c r="B1509" s="19" t="s">
        <v>1253</v>
      </c>
      <c r="C1509" s="19" t="s">
        <v>1581</v>
      </c>
      <c r="D1509" s="19" t="s">
        <v>1636</v>
      </c>
      <c r="E1509" s="31" t="s">
        <v>17</v>
      </c>
      <c r="F1509" s="19" t="s">
        <v>18</v>
      </c>
      <c r="G1509" s="19" t="s">
        <v>29</v>
      </c>
      <c r="H1509" s="37">
        <v>45323</v>
      </c>
      <c r="I1509" s="19">
        <f>IF(F1509="是",VLOOKUP(G1509,[271]Sheet2!A:C,3,FALSE),VLOOKUP(G1509,[271]Sheet2!A:B,2,FALSE))</f>
        <v>800</v>
      </c>
      <c r="J1509" s="24" t="s">
        <v>20</v>
      </c>
      <c r="K1509" s="19"/>
    </row>
    <row r="1510" ht="31" customHeight="1" spans="1:11">
      <c r="A1510" s="19">
        <v>1506</v>
      </c>
      <c r="B1510" s="19" t="s">
        <v>1253</v>
      </c>
      <c r="C1510" s="19" t="s">
        <v>1581</v>
      </c>
      <c r="D1510" s="19" t="s">
        <v>1637</v>
      </c>
      <c r="E1510" s="31" t="s">
        <v>17</v>
      </c>
      <c r="F1510" s="19" t="s">
        <v>18</v>
      </c>
      <c r="G1510" s="19" t="s">
        <v>301</v>
      </c>
      <c r="H1510" s="44">
        <v>45475</v>
      </c>
      <c r="I1510" s="19">
        <f>IF(H1510="是",VLOOKUP(G1510,[274]Sheet2!A:C,3,FALSE),VLOOKUP(G1510,[274]Sheet2!A:B,2,FALSE))</f>
        <v>800</v>
      </c>
      <c r="J1510" s="24" t="s">
        <v>20</v>
      </c>
      <c r="K1510" s="19"/>
    </row>
    <row r="1511" ht="31" customHeight="1" spans="1:11">
      <c r="A1511" s="19">
        <v>1507</v>
      </c>
      <c r="B1511" s="19" t="s">
        <v>1253</v>
      </c>
      <c r="C1511" s="19" t="s">
        <v>1581</v>
      </c>
      <c r="D1511" s="19" t="s">
        <v>1638</v>
      </c>
      <c r="E1511" s="31" t="s">
        <v>17</v>
      </c>
      <c r="F1511" s="19" t="s">
        <v>18</v>
      </c>
      <c r="G1511" s="19" t="s">
        <v>19</v>
      </c>
      <c r="H1511" s="44">
        <v>45474</v>
      </c>
      <c r="I1511" s="19">
        <f>IF(H1511="是",VLOOKUP(G1511,[274]Sheet2!A:C,3,FALSE),VLOOKUP(G1511,[274]Sheet2!A:B,2,FALSE))</f>
        <v>600</v>
      </c>
      <c r="J1511" s="24" t="s">
        <v>20</v>
      </c>
      <c r="K1511" s="19"/>
    </row>
    <row r="1512" ht="31" customHeight="1" spans="1:11">
      <c r="A1512" s="19">
        <v>1508</v>
      </c>
      <c r="B1512" s="19" t="s">
        <v>1253</v>
      </c>
      <c r="C1512" s="19" t="s">
        <v>1639</v>
      </c>
      <c r="D1512" s="20" t="s">
        <v>1640</v>
      </c>
      <c r="E1512" s="31" t="s">
        <v>17</v>
      </c>
      <c r="F1512" s="19" t="s">
        <v>18</v>
      </c>
      <c r="G1512" s="19" t="s">
        <v>19</v>
      </c>
      <c r="H1512" s="23">
        <v>45413</v>
      </c>
      <c r="I1512" s="19">
        <v>600</v>
      </c>
      <c r="J1512" s="24" t="s">
        <v>20</v>
      </c>
      <c r="K1512" s="19"/>
    </row>
    <row r="1513" ht="31" customHeight="1" spans="1:11">
      <c r="A1513" s="19">
        <v>1509</v>
      </c>
      <c r="B1513" s="19" t="s">
        <v>1253</v>
      </c>
      <c r="C1513" s="19" t="s">
        <v>1639</v>
      </c>
      <c r="D1513" s="20" t="s">
        <v>1641</v>
      </c>
      <c r="E1513" s="31" t="s">
        <v>17</v>
      </c>
      <c r="F1513" s="19" t="s">
        <v>18</v>
      </c>
      <c r="G1513" s="19" t="s">
        <v>48</v>
      </c>
      <c r="H1513" s="23">
        <v>45474</v>
      </c>
      <c r="I1513" s="19">
        <v>800</v>
      </c>
      <c r="J1513" s="24" t="s">
        <v>20</v>
      </c>
      <c r="K1513" s="19"/>
    </row>
    <row r="1514" ht="31" customHeight="1" spans="1:11">
      <c r="A1514" s="19">
        <v>1510</v>
      </c>
      <c r="B1514" s="19" t="s">
        <v>1253</v>
      </c>
      <c r="C1514" s="19" t="s">
        <v>1639</v>
      </c>
      <c r="D1514" s="20" t="s">
        <v>1642</v>
      </c>
      <c r="E1514" s="31" t="s">
        <v>17</v>
      </c>
      <c r="F1514" s="19" t="s">
        <v>18</v>
      </c>
      <c r="G1514" s="19" t="s">
        <v>19</v>
      </c>
      <c r="H1514" s="23">
        <v>45383</v>
      </c>
      <c r="I1514" s="19">
        <v>600</v>
      </c>
      <c r="J1514" s="24" t="s">
        <v>20</v>
      </c>
      <c r="K1514" s="19"/>
    </row>
    <row r="1515" ht="31" customHeight="1" spans="1:11">
      <c r="A1515" s="19">
        <v>1511</v>
      </c>
      <c r="B1515" s="19" t="s">
        <v>1253</v>
      </c>
      <c r="C1515" s="19" t="s">
        <v>1639</v>
      </c>
      <c r="D1515" s="20" t="s">
        <v>1643</v>
      </c>
      <c r="E1515" s="31" t="s">
        <v>17</v>
      </c>
      <c r="F1515" s="19" t="s">
        <v>18</v>
      </c>
      <c r="G1515" s="19" t="s">
        <v>19</v>
      </c>
      <c r="H1515" s="23">
        <v>45323</v>
      </c>
      <c r="I1515" s="19">
        <v>600</v>
      </c>
      <c r="J1515" s="24" t="s">
        <v>20</v>
      </c>
      <c r="K1515" s="19"/>
    </row>
    <row r="1516" ht="31" customHeight="1" spans="1:11">
      <c r="A1516" s="19">
        <v>1512</v>
      </c>
      <c r="B1516" s="19" t="s">
        <v>1253</v>
      </c>
      <c r="C1516" s="19" t="s">
        <v>1639</v>
      </c>
      <c r="D1516" s="20" t="s">
        <v>1644</v>
      </c>
      <c r="E1516" s="31" t="s">
        <v>17</v>
      </c>
      <c r="F1516" s="19" t="s">
        <v>18</v>
      </c>
      <c r="G1516" s="19" t="s">
        <v>19</v>
      </c>
      <c r="H1516" s="23">
        <v>45474</v>
      </c>
      <c r="I1516" s="19">
        <v>600</v>
      </c>
      <c r="J1516" s="24" t="s">
        <v>20</v>
      </c>
      <c r="K1516" s="19"/>
    </row>
    <row r="1517" ht="31" customHeight="1" spans="1:11">
      <c r="A1517" s="19">
        <v>1513</v>
      </c>
      <c r="B1517" s="19" t="s">
        <v>1253</v>
      </c>
      <c r="C1517" s="19" t="s">
        <v>1639</v>
      </c>
      <c r="D1517" s="20" t="s">
        <v>1645</v>
      </c>
      <c r="E1517" s="31" t="s">
        <v>17</v>
      </c>
      <c r="F1517" s="19" t="s">
        <v>18</v>
      </c>
      <c r="G1517" s="19" t="s">
        <v>19</v>
      </c>
      <c r="H1517" s="23">
        <v>45444</v>
      </c>
      <c r="I1517" s="19">
        <v>600</v>
      </c>
      <c r="J1517" s="24" t="s">
        <v>20</v>
      </c>
      <c r="K1517" s="19"/>
    </row>
    <row r="1518" ht="31" customHeight="1" spans="1:11">
      <c r="A1518" s="19">
        <v>1514</v>
      </c>
      <c r="B1518" s="19" t="s">
        <v>1253</v>
      </c>
      <c r="C1518" s="19" t="s">
        <v>1639</v>
      </c>
      <c r="D1518" s="20" t="s">
        <v>1646</v>
      </c>
      <c r="E1518" s="31" t="s">
        <v>17</v>
      </c>
      <c r="F1518" s="19" t="s">
        <v>18</v>
      </c>
      <c r="G1518" s="19" t="s">
        <v>19</v>
      </c>
      <c r="H1518" s="23">
        <v>45352</v>
      </c>
      <c r="I1518" s="19">
        <v>600</v>
      </c>
      <c r="J1518" s="24" t="s">
        <v>20</v>
      </c>
      <c r="K1518" s="19"/>
    </row>
    <row r="1519" ht="31" customHeight="1" spans="1:11">
      <c r="A1519" s="19">
        <v>1515</v>
      </c>
      <c r="B1519" s="19" t="s">
        <v>1253</v>
      </c>
      <c r="C1519" s="19" t="s">
        <v>1639</v>
      </c>
      <c r="D1519" s="20" t="s">
        <v>1647</v>
      </c>
      <c r="E1519" s="31" t="s">
        <v>17</v>
      </c>
      <c r="F1519" s="19" t="s">
        <v>18</v>
      </c>
      <c r="G1519" s="19" t="s">
        <v>19</v>
      </c>
      <c r="H1519" s="23">
        <v>45352</v>
      </c>
      <c r="I1519" s="19">
        <v>600</v>
      </c>
      <c r="J1519" s="24" t="s">
        <v>20</v>
      </c>
      <c r="K1519" s="19"/>
    </row>
    <row r="1520" ht="31" customHeight="1" spans="1:11">
      <c r="A1520" s="19">
        <v>1516</v>
      </c>
      <c r="B1520" s="19" t="s">
        <v>1253</v>
      </c>
      <c r="C1520" s="19" t="s">
        <v>1639</v>
      </c>
      <c r="D1520" s="20" t="s">
        <v>1648</v>
      </c>
      <c r="E1520" s="31" t="s">
        <v>17</v>
      </c>
      <c r="F1520" s="19" t="s">
        <v>18</v>
      </c>
      <c r="G1520" s="19" t="s">
        <v>19</v>
      </c>
      <c r="H1520" s="23">
        <v>45352</v>
      </c>
      <c r="I1520" s="19">
        <v>600</v>
      </c>
      <c r="J1520" s="24" t="s">
        <v>20</v>
      </c>
      <c r="K1520" s="19"/>
    </row>
    <row r="1521" ht="31" customHeight="1" spans="1:11">
      <c r="A1521" s="19">
        <v>1517</v>
      </c>
      <c r="B1521" s="19" t="s">
        <v>1253</v>
      </c>
      <c r="C1521" s="19" t="s">
        <v>1639</v>
      </c>
      <c r="D1521" s="41" t="s">
        <v>1649</v>
      </c>
      <c r="E1521" s="31" t="s">
        <v>17</v>
      </c>
      <c r="F1521" s="19" t="s">
        <v>18</v>
      </c>
      <c r="G1521" s="19" t="s">
        <v>19</v>
      </c>
      <c r="H1521" s="23">
        <v>45352</v>
      </c>
      <c r="I1521" s="19">
        <v>600</v>
      </c>
      <c r="J1521" s="24" t="s">
        <v>20</v>
      </c>
      <c r="K1521" s="19"/>
    </row>
    <row r="1522" ht="31" customHeight="1" spans="1:11">
      <c r="A1522" s="19">
        <v>1518</v>
      </c>
      <c r="B1522" s="19" t="s">
        <v>1253</v>
      </c>
      <c r="C1522" s="19" t="s">
        <v>1639</v>
      </c>
      <c r="D1522" s="41" t="s">
        <v>1364</v>
      </c>
      <c r="E1522" s="31" t="s">
        <v>17</v>
      </c>
      <c r="F1522" s="19" t="s">
        <v>18</v>
      </c>
      <c r="G1522" s="19" t="s">
        <v>19</v>
      </c>
      <c r="H1522" s="23">
        <v>45352</v>
      </c>
      <c r="I1522" s="19">
        <v>600</v>
      </c>
      <c r="J1522" s="24" t="s">
        <v>20</v>
      </c>
      <c r="K1522" s="19"/>
    </row>
    <row r="1523" ht="31" customHeight="1" spans="1:11">
      <c r="A1523" s="19">
        <v>1519</v>
      </c>
      <c r="B1523" s="19" t="s">
        <v>1253</v>
      </c>
      <c r="C1523" s="19" t="s">
        <v>1639</v>
      </c>
      <c r="D1523" s="41" t="s">
        <v>1650</v>
      </c>
      <c r="E1523" s="31" t="s">
        <v>17</v>
      </c>
      <c r="F1523" s="19" t="s">
        <v>18</v>
      </c>
      <c r="G1523" s="19" t="s">
        <v>19</v>
      </c>
      <c r="H1523" s="23">
        <v>45352</v>
      </c>
      <c r="I1523" s="19">
        <v>600</v>
      </c>
      <c r="J1523" s="24" t="s">
        <v>20</v>
      </c>
      <c r="K1523" s="19"/>
    </row>
    <row r="1524" ht="31" customHeight="1" spans="1:11">
      <c r="A1524" s="19">
        <v>1520</v>
      </c>
      <c r="B1524" s="19" t="s">
        <v>1253</v>
      </c>
      <c r="C1524" s="19" t="s">
        <v>1639</v>
      </c>
      <c r="D1524" s="41" t="s">
        <v>1651</v>
      </c>
      <c r="E1524" s="31" t="s">
        <v>17</v>
      </c>
      <c r="F1524" s="19" t="s">
        <v>18</v>
      </c>
      <c r="G1524" s="19" t="s">
        <v>19</v>
      </c>
      <c r="H1524" s="23">
        <v>45474</v>
      </c>
      <c r="I1524" s="19">
        <v>600</v>
      </c>
      <c r="J1524" s="24" t="s">
        <v>20</v>
      </c>
      <c r="K1524" s="19"/>
    </row>
    <row r="1525" ht="31" customHeight="1" spans="1:11">
      <c r="A1525" s="19">
        <v>1521</v>
      </c>
      <c r="B1525" s="19" t="s">
        <v>1253</v>
      </c>
      <c r="C1525" s="19" t="s">
        <v>1639</v>
      </c>
      <c r="D1525" s="41" t="s">
        <v>1652</v>
      </c>
      <c r="E1525" s="31" t="s">
        <v>17</v>
      </c>
      <c r="F1525" s="19" t="s">
        <v>18</v>
      </c>
      <c r="G1525" s="19" t="s">
        <v>19</v>
      </c>
      <c r="H1525" s="23">
        <v>45352</v>
      </c>
      <c r="I1525" s="19">
        <v>600</v>
      </c>
      <c r="J1525" s="24" t="s">
        <v>20</v>
      </c>
      <c r="K1525" s="19"/>
    </row>
    <row r="1526" ht="31" customHeight="1" spans="1:11">
      <c r="A1526" s="19">
        <v>1522</v>
      </c>
      <c r="B1526" s="19" t="s">
        <v>1253</v>
      </c>
      <c r="C1526" s="19" t="s">
        <v>1639</v>
      </c>
      <c r="D1526" s="41" t="s">
        <v>1653</v>
      </c>
      <c r="E1526" s="31" t="s">
        <v>17</v>
      </c>
      <c r="F1526" s="19" t="s">
        <v>18</v>
      </c>
      <c r="G1526" s="19" t="s">
        <v>19</v>
      </c>
      <c r="H1526" s="23">
        <v>45444</v>
      </c>
      <c r="I1526" s="19">
        <v>600</v>
      </c>
      <c r="J1526" s="24" t="s">
        <v>20</v>
      </c>
      <c r="K1526" s="19"/>
    </row>
    <row r="1527" ht="31" customHeight="1" spans="1:11">
      <c r="A1527" s="19">
        <v>1523</v>
      </c>
      <c r="B1527" s="19" t="s">
        <v>1253</v>
      </c>
      <c r="C1527" s="19" t="s">
        <v>1639</v>
      </c>
      <c r="D1527" s="41" t="s">
        <v>1654</v>
      </c>
      <c r="E1527" s="31" t="s">
        <v>17</v>
      </c>
      <c r="F1527" s="19" t="s">
        <v>18</v>
      </c>
      <c r="G1527" s="19" t="s">
        <v>19</v>
      </c>
      <c r="H1527" s="23">
        <v>45323</v>
      </c>
      <c r="I1527" s="19">
        <v>600</v>
      </c>
      <c r="J1527" s="24" t="s">
        <v>20</v>
      </c>
      <c r="K1527" s="19"/>
    </row>
    <row r="1528" ht="31" customHeight="1" spans="1:11">
      <c r="A1528" s="19">
        <v>1524</v>
      </c>
      <c r="B1528" s="19" t="s">
        <v>1253</v>
      </c>
      <c r="C1528" s="19" t="s">
        <v>1639</v>
      </c>
      <c r="D1528" s="41" t="s">
        <v>273</v>
      </c>
      <c r="E1528" s="31" t="s">
        <v>17</v>
      </c>
      <c r="F1528" s="19" t="s">
        <v>18</v>
      </c>
      <c r="G1528" s="19" t="s">
        <v>19</v>
      </c>
      <c r="H1528" s="23">
        <v>45323</v>
      </c>
      <c r="I1528" s="19">
        <v>600</v>
      </c>
      <c r="J1528" s="24" t="s">
        <v>20</v>
      </c>
      <c r="K1528" s="19"/>
    </row>
    <row r="1529" ht="31" customHeight="1" spans="1:11">
      <c r="A1529" s="19">
        <v>1525</v>
      </c>
      <c r="B1529" s="19" t="s">
        <v>1253</v>
      </c>
      <c r="C1529" s="19" t="s">
        <v>1639</v>
      </c>
      <c r="D1529" s="41" t="s">
        <v>1655</v>
      </c>
      <c r="E1529" s="31" t="s">
        <v>17</v>
      </c>
      <c r="F1529" s="19" t="s">
        <v>18</v>
      </c>
      <c r="G1529" s="19" t="s">
        <v>19</v>
      </c>
      <c r="H1529" s="23">
        <v>45323</v>
      </c>
      <c r="I1529" s="19">
        <v>600</v>
      </c>
      <c r="J1529" s="24" t="s">
        <v>20</v>
      </c>
      <c r="K1529" s="19"/>
    </row>
    <row r="1530" ht="31" customHeight="1" spans="1:11">
      <c r="A1530" s="19">
        <v>1526</v>
      </c>
      <c r="B1530" s="19" t="s">
        <v>1253</v>
      </c>
      <c r="C1530" s="19" t="s">
        <v>1639</v>
      </c>
      <c r="D1530" s="41" t="s">
        <v>1656</v>
      </c>
      <c r="E1530" s="31" t="s">
        <v>17</v>
      </c>
      <c r="F1530" s="19" t="s">
        <v>18</v>
      </c>
      <c r="G1530" s="19" t="s">
        <v>48</v>
      </c>
      <c r="H1530" s="23">
        <v>45444</v>
      </c>
      <c r="I1530" s="19">
        <v>800</v>
      </c>
      <c r="J1530" s="24" t="s">
        <v>20</v>
      </c>
      <c r="K1530" s="19"/>
    </row>
    <row r="1531" ht="31" customHeight="1" spans="1:11">
      <c r="A1531" s="19">
        <v>1527</v>
      </c>
      <c r="B1531" s="19" t="s">
        <v>1253</v>
      </c>
      <c r="C1531" s="19" t="s">
        <v>1639</v>
      </c>
      <c r="D1531" s="41" t="s">
        <v>1657</v>
      </c>
      <c r="E1531" s="31" t="s">
        <v>17</v>
      </c>
      <c r="F1531" s="19" t="s">
        <v>18</v>
      </c>
      <c r="G1531" s="19" t="s">
        <v>19</v>
      </c>
      <c r="H1531" s="23">
        <v>45323</v>
      </c>
      <c r="I1531" s="19">
        <v>600</v>
      </c>
      <c r="J1531" s="24" t="s">
        <v>20</v>
      </c>
      <c r="K1531" s="19"/>
    </row>
    <row r="1532" ht="31" customHeight="1" spans="1:11">
      <c r="A1532" s="19">
        <v>1528</v>
      </c>
      <c r="B1532" s="19" t="s">
        <v>1253</v>
      </c>
      <c r="C1532" s="19" t="s">
        <v>1639</v>
      </c>
      <c r="D1532" s="41" t="s">
        <v>1658</v>
      </c>
      <c r="E1532" s="31" t="s">
        <v>17</v>
      </c>
      <c r="F1532" s="19" t="s">
        <v>18</v>
      </c>
      <c r="G1532" s="19" t="s">
        <v>19</v>
      </c>
      <c r="H1532" s="23">
        <v>45444</v>
      </c>
      <c r="I1532" s="19">
        <v>600</v>
      </c>
      <c r="J1532" s="24" t="s">
        <v>20</v>
      </c>
      <c r="K1532" s="19"/>
    </row>
    <row r="1533" ht="31" customHeight="1" spans="1:11">
      <c r="A1533" s="19">
        <v>1529</v>
      </c>
      <c r="B1533" s="19" t="s">
        <v>1253</v>
      </c>
      <c r="C1533" s="19" t="s">
        <v>1639</v>
      </c>
      <c r="D1533" s="41" t="s">
        <v>1659</v>
      </c>
      <c r="E1533" s="31" t="s">
        <v>17</v>
      </c>
      <c r="F1533" s="19" t="s">
        <v>18</v>
      </c>
      <c r="G1533" s="19" t="s">
        <v>19</v>
      </c>
      <c r="H1533" s="23">
        <v>45383</v>
      </c>
      <c r="I1533" s="19">
        <v>600</v>
      </c>
      <c r="J1533" s="24" t="s">
        <v>20</v>
      </c>
      <c r="K1533" s="19"/>
    </row>
    <row r="1534" ht="31" customHeight="1" spans="1:11">
      <c r="A1534" s="19">
        <v>1530</v>
      </c>
      <c r="B1534" s="19" t="s">
        <v>1253</v>
      </c>
      <c r="C1534" s="19" t="s">
        <v>1639</v>
      </c>
      <c r="D1534" s="40" t="s">
        <v>1660</v>
      </c>
      <c r="E1534" s="31" t="s">
        <v>17</v>
      </c>
      <c r="F1534" s="19" t="s">
        <v>18</v>
      </c>
      <c r="G1534" s="19" t="s">
        <v>19</v>
      </c>
      <c r="H1534" s="23">
        <v>45323</v>
      </c>
      <c r="I1534" s="19">
        <v>600</v>
      </c>
      <c r="J1534" s="24" t="s">
        <v>20</v>
      </c>
      <c r="K1534" s="19"/>
    </row>
    <row r="1535" ht="31" customHeight="1" spans="1:11">
      <c r="A1535" s="19">
        <v>1531</v>
      </c>
      <c r="B1535" s="19" t="s">
        <v>1253</v>
      </c>
      <c r="C1535" s="20" t="s">
        <v>1639</v>
      </c>
      <c r="D1535" s="41" t="s">
        <v>1661</v>
      </c>
      <c r="E1535" s="31" t="s">
        <v>17</v>
      </c>
      <c r="F1535" s="19" t="s">
        <v>18</v>
      </c>
      <c r="G1535" s="19" t="s">
        <v>19</v>
      </c>
      <c r="H1535" s="23">
        <v>45323</v>
      </c>
      <c r="I1535" s="19">
        <v>600</v>
      </c>
      <c r="J1535" s="24" t="s">
        <v>20</v>
      </c>
      <c r="K1535" s="19"/>
    </row>
    <row r="1536" ht="31" customHeight="1" spans="1:11">
      <c r="A1536" s="19">
        <v>1532</v>
      </c>
      <c r="B1536" s="19" t="s">
        <v>1253</v>
      </c>
      <c r="C1536" s="19" t="s">
        <v>1639</v>
      </c>
      <c r="D1536" s="40" t="s">
        <v>1662</v>
      </c>
      <c r="E1536" s="31" t="s">
        <v>17</v>
      </c>
      <c r="F1536" s="19" t="s">
        <v>18</v>
      </c>
      <c r="G1536" s="19" t="s">
        <v>19</v>
      </c>
      <c r="H1536" s="23">
        <v>45323</v>
      </c>
      <c r="I1536" s="19">
        <v>600</v>
      </c>
      <c r="J1536" s="24" t="s">
        <v>20</v>
      </c>
      <c r="K1536" s="19"/>
    </row>
    <row r="1537" ht="31" customHeight="1" spans="1:11">
      <c r="A1537" s="19">
        <v>1533</v>
      </c>
      <c r="B1537" s="20" t="s">
        <v>1253</v>
      </c>
      <c r="C1537" s="20" t="s">
        <v>1663</v>
      </c>
      <c r="D1537" s="20" t="s">
        <v>1664</v>
      </c>
      <c r="E1537" s="21" t="s">
        <v>17</v>
      </c>
      <c r="F1537" s="20" t="s">
        <v>18</v>
      </c>
      <c r="G1537" s="20" t="s">
        <v>19</v>
      </c>
      <c r="H1537" s="23">
        <v>45352</v>
      </c>
      <c r="I1537" s="19">
        <f>IF(F1537="是",VLOOKUP(G1537,[237]Sheet2!A:C,3,FALSE),VLOOKUP(G1537,[237]Sheet2!A:B,2,FALSE))</f>
        <v>600</v>
      </c>
      <c r="J1537" s="24" t="s">
        <v>20</v>
      </c>
      <c r="K1537" s="19"/>
    </row>
    <row r="1538" ht="31" customHeight="1" spans="1:11">
      <c r="A1538" s="19">
        <v>1534</v>
      </c>
      <c r="B1538" s="20" t="s">
        <v>1253</v>
      </c>
      <c r="C1538" s="20" t="s">
        <v>1663</v>
      </c>
      <c r="D1538" s="20" t="s">
        <v>1665</v>
      </c>
      <c r="E1538" s="21" t="s">
        <v>17</v>
      </c>
      <c r="F1538" s="20" t="s">
        <v>18</v>
      </c>
      <c r="G1538" s="20" t="s">
        <v>32</v>
      </c>
      <c r="H1538" s="23">
        <v>45292</v>
      </c>
      <c r="I1538" s="19">
        <f>IF(F1538="是",VLOOKUP(G1538,[242]Sheet2!A:C,3,FALSE),VLOOKUP(G1538,[242]Sheet2!A:B,2,FALSE))</f>
        <v>800</v>
      </c>
      <c r="J1538" s="24" t="s">
        <v>20</v>
      </c>
      <c r="K1538" s="19"/>
    </row>
    <row r="1539" ht="31" customHeight="1" spans="1:11">
      <c r="A1539" s="19">
        <v>1535</v>
      </c>
      <c r="B1539" s="20" t="s">
        <v>1253</v>
      </c>
      <c r="C1539" s="20" t="s">
        <v>1663</v>
      </c>
      <c r="D1539" s="20" t="s">
        <v>1666</v>
      </c>
      <c r="E1539" s="21" t="s">
        <v>17</v>
      </c>
      <c r="F1539" s="20" t="s">
        <v>18</v>
      </c>
      <c r="G1539" s="20" t="s">
        <v>32</v>
      </c>
      <c r="H1539" s="23">
        <v>45293</v>
      </c>
      <c r="I1539" s="19">
        <f>IF(F1539="是",VLOOKUP(G1539,[242]Sheet2!A:C,3,FALSE),VLOOKUP(G1539,[242]Sheet2!A:B,2,FALSE))</f>
        <v>800</v>
      </c>
      <c r="J1539" s="24" t="s">
        <v>20</v>
      </c>
      <c r="K1539" s="19"/>
    </row>
    <row r="1540" ht="31" customHeight="1" spans="1:11">
      <c r="A1540" s="19">
        <v>1536</v>
      </c>
      <c r="B1540" s="20" t="s">
        <v>1253</v>
      </c>
      <c r="C1540" s="20" t="s">
        <v>1663</v>
      </c>
      <c r="D1540" s="20" t="s">
        <v>1667</v>
      </c>
      <c r="E1540" s="21" t="s">
        <v>17</v>
      </c>
      <c r="F1540" s="20" t="s">
        <v>18</v>
      </c>
      <c r="G1540" s="20" t="s">
        <v>69</v>
      </c>
      <c r="H1540" s="23">
        <v>45323</v>
      </c>
      <c r="I1540" s="19">
        <v>800</v>
      </c>
      <c r="J1540" s="24" t="s">
        <v>20</v>
      </c>
      <c r="K1540" s="19"/>
    </row>
    <row r="1541" ht="31" customHeight="1" spans="1:11">
      <c r="A1541" s="19">
        <v>1537</v>
      </c>
      <c r="B1541" s="20" t="s">
        <v>1253</v>
      </c>
      <c r="C1541" s="20" t="s">
        <v>1663</v>
      </c>
      <c r="D1541" s="20" t="s">
        <v>1668</v>
      </c>
      <c r="E1541" s="21" t="s">
        <v>17</v>
      </c>
      <c r="F1541" s="20" t="s">
        <v>18</v>
      </c>
      <c r="G1541" s="20" t="s">
        <v>19</v>
      </c>
      <c r="H1541" s="23">
        <v>45323</v>
      </c>
      <c r="I1541" s="19">
        <f>IF(F1541="是",VLOOKUP(G1541,[238]Sheet2!A:C,3,FALSE),VLOOKUP(G1541,[238]Sheet2!A:B,2,FALSE))</f>
        <v>600</v>
      </c>
      <c r="J1541" s="24" t="s">
        <v>20</v>
      </c>
      <c r="K1541" s="19"/>
    </row>
    <row r="1542" ht="31" customHeight="1" spans="1:11">
      <c r="A1542" s="19">
        <v>1538</v>
      </c>
      <c r="B1542" s="20" t="s">
        <v>1253</v>
      </c>
      <c r="C1542" s="20" t="s">
        <v>1663</v>
      </c>
      <c r="D1542" s="20" t="s">
        <v>1669</v>
      </c>
      <c r="E1542" s="21" t="s">
        <v>17</v>
      </c>
      <c r="F1542" s="20" t="s">
        <v>18</v>
      </c>
      <c r="G1542" s="20" t="s">
        <v>19</v>
      </c>
      <c r="H1542" s="23">
        <v>45323</v>
      </c>
      <c r="I1542" s="19">
        <f>IF(F1542="是",VLOOKUP(G1542,[238]Sheet2!A:C,3,FALSE),VLOOKUP(G1542,[238]Sheet2!A:B,2,FALSE))</f>
        <v>600</v>
      </c>
      <c r="J1542" s="24" t="s">
        <v>20</v>
      </c>
      <c r="K1542" s="19"/>
    </row>
    <row r="1543" ht="31" customHeight="1" spans="1:11">
      <c r="A1543" s="19">
        <v>1539</v>
      </c>
      <c r="B1543" s="20" t="s">
        <v>1253</v>
      </c>
      <c r="C1543" s="20" t="s">
        <v>1663</v>
      </c>
      <c r="D1543" s="20" t="s">
        <v>1670</v>
      </c>
      <c r="E1543" s="21" t="s">
        <v>17</v>
      </c>
      <c r="F1543" s="20" t="s">
        <v>18</v>
      </c>
      <c r="G1543" s="20" t="s">
        <v>19</v>
      </c>
      <c r="H1543" s="23">
        <v>45383</v>
      </c>
      <c r="I1543" s="19">
        <f>IF(F1543="是",VLOOKUP(G1543,[238]Sheet2!A:C,3,FALSE),VLOOKUP(G1543,[238]Sheet2!A:B,2,FALSE))</f>
        <v>600</v>
      </c>
      <c r="J1543" s="24" t="s">
        <v>20</v>
      </c>
      <c r="K1543" s="19"/>
    </row>
    <row r="1544" ht="31" customHeight="1" spans="1:11">
      <c r="A1544" s="19">
        <v>1540</v>
      </c>
      <c r="B1544" s="20" t="s">
        <v>1253</v>
      </c>
      <c r="C1544" s="20" t="s">
        <v>1663</v>
      </c>
      <c r="D1544" s="20" t="s">
        <v>1671</v>
      </c>
      <c r="E1544" s="21" t="s">
        <v>17</v>
      </c>
      <c r="F1544" s="20" t="s">
        <v>18</v>
      </c>
      <c r="G1544" s="20" t="s">
        <v>464</v>
      </c>
      <c r="H1544" s="23">
        <v>45292</v>
      </c>
      <c r="I1544" s="19">
        <f>IF(F1544="是",VLOOKUP(G1544,[239]Sheet2!A:C,3,FALSE),VLOOKUP(G1544,[239]Sheet2!A:B,2,FALSE))</f>
        <v>800</v>
      </c>
      <c r="J1544" s="24" t="s">
        <v>20</v>
      </c>
      <c r="K1544" s="19"/>
    </row>
    <row r="1545" ht="31" customHeight="1" spans="1:11">
      <c r="A1545" s="19">
        <v>1541</v>
      </c>
      <c r="B1545" s="20" t="s">
        <v>1253</v>
      </c>
      <c r="C1545" s="20" t="s">
        <v>1663</v>
      </c>
      <c r="D1545" s="20" t="s">
        <v>1672</v>
      </c>
      <c r="E1545" s="21" t="s">
        <v>17</v>
      </c>
      <c r="F1545" s="20" t="s">
        <v>18</v>
      </c>
      <c r="G1545" s="20" t="s">
        <v>32</v>
      </c>
      <c r="H1545" s="23">
        <v>45292</v>
      </c>
      <c r="I1545" s="19">
        <f>IF(F1545="是",VLOOKUP(G1545,[239]Sheet2!A:C,3,FALSE),VLOOKUP(G1545,[239]Sheet2!A:B,2,FALSE))</f>
        <v>800</v>
      </c>
      <c r="J1545" s="24" t="s">
        <v>20</v>
      </c>
      <c r="K1545" s="19"/>
    </row>
    <row r="1546" ht="31" customHeight="1" spans="1:11">
      <c r="A1546" s="19">
        <v>1542</v>
      </c>
      <c r="B1546" s="20" t="s">
        <v>1253</v>
      </c>
      <c r="C1546" s="20" t="s">
        <v>1663</v>
      </c>
      <c r="D1546" s="20" t="s">
        <v>1673</v>
      </c>
      <c r="E1546" s="21" t="s">
        <v>17</v>
      </c>
      <c r="F1546" s="20" t="s">
        <v>18</v>
      </c>
      <c r="G1546" s="20" t="s">
        <v>19</v>
      </c>
      <c r="H1546" s="23">
        <v>45323</v>
      </c>
      <c r="I1546" s="19">
        <f>IF(F1546="是",VLOOKUP(G1546,[240]Sheet2!A:C,3,FALSE),VLOOKUP(G1546,[240]Sheet2!A:B,2,FALSE))</f>
        <v>600</v>
      </c>
      <c r="J1546" s="24" t="s">
        <v>20</v>
      </c>
      <c r="K1546" s="19"/>
    </row>
    <row r="1547" ht="31" customHeight="1" spans="1:11">
      <c r="A1547" s="19">
        <v>1543</v>
      </c>
      <c r="B1547" s="20" t="s">
        <v>1253</v>
      </c>
      <c r="C1547" s="20" t="s">
        <v>1663</v>
      </c>
      <c r="D1547" s="20" t="s">
        <v>1674</v>
      </c>
      <c r="E1547" s="21" t="s">
        <v>17</v>
      </c>
      <c r="F1547" s="20" t="s">
        <v>18</v>
      </c>
      <c r="G1547" s="20" t="s">
        <v>19</v>
      </c>
      <c r="H1547" s="23">
        <v>45323</v>
      </c>
      <c r="I1547" s="19">
        <f>IF(F1547="是",VLOOKUP(G1547,[240]Sheet2!A:C,3,FALSE),VLOOKUP(G1547,[240]Sheet2!A:B,2,FALSE))</f>
        <v>600</v>
      </c>
      <c r="J1547" s="24" t="s">
        <v>20</v>
      </c>
      <c r="K1547" s="19"/>
    </row>
    <row r="1548" ht="31" customHeight="1" spans="1:11">
      <c r="A1548" s="19">
        <v>1544</v>
      </c>
      <c r="B1548" s="20" t="s">
        <v>1253</v>
      </c>
      <c r="C1548" s="20" t="s">
        <v>1663</v>
      </c>
      <c r="D1548" s="20" t="s">
        <v>1675</v>
      </c>
      <c r="E1548" s="21" t="s">
        <v>17</v>
      </c>
      <c r="F1548" s="20" t="s">
        <v>18</v>
      </c>
      <c r="G1548" s="20" t="s">
        <v>32</v>
      </c>
      <c r="H1548" s="23">
        <v>45293</v>
      </c>
      <c r="I1548" s="19">
        <f>IF(F1548="是",VLOOKUP(G1548,[241]Sheet2!A:C,3,FALSE),VLOOKUP(G1548,[241]Sheet2!A:B,2,FALSE))</f>
        <v>800</v>
      </c>
      <c r="J1548" s="24" t="s">
        <v>20</v>
      </c>
      <c r="K1548" s="19"/>
    </row>
    <row r="1549" ht="31" customHeight="1" spans="1:11">
      <c r="A1549" s="19">
        <v>1545</v>
      </c>
      <c r="B1549" s="20" t="s">
        <v>1253</v>
      </c>
      <c r="C1549" s="20" t="s">
        <v>1663</v>
      </c>
      <c r="D1549" s="20" t="s">
        <v>1676</v>
      </c>
      <c r="E1549" s="21" t="s">
        <v>17</v>
      </c>
      <c r="F1549" s="20" t="s">
        <v>18</v>
      </c>
      <c r="G1549" s="20" t="s">
        <v>32</v>
      </c>
      <c r="H1549" s="23">
        <v>45293</v>
      </c>
      <c r="I1549" s="19">
        <f>IF(F1549="是",VLOOKUP(G1549,[241]Sheet2!A:C,3,FALSE),VLOOKUP(G1549,[241]Sheet2!A:B,2,FALSE))</f>
        <v>800</v>
      </c>
      <c r="J1549" s="24" t="s">
        <v>20</v>
      </c>
      <c r="K1549" s="19"/>
    </row>
    <row r="1550" ht="31" customHeight="1" spans="1:11">
      <c r="A1550" s="19">
        <v>1546</v>
      </c>
      <c r="B1550" s="20" t="s">
        <v>1253</v>
      </c>
      <c r="C1550" s="20" t="s">
        <v>1663</v>
      </c>
      <c r="D1550" s="20" t="s">
        <v>1677</v>
      </c>
      <c r="E1550" s="21" t="s">
        <v>17</v>
      </c>
      <c r="F1550" s="20" t="s">
        <v>18</v>
      </c>
      <c r="G1550" s="20" t="s">
        <v>19</v>
      </c>
      <c r="H1550" s="23">
        <v>45383</v>
      </c>
      <c r="I1550" s="19">
        <v>600</v>
      </c>
      <c r="J1550" s="24" t="s">
        <v>20</v>
      </c>
      <c r="K1550" s="19"/>
    </row>
    <row r="1551" ht="31" customHeight="1" spans="1:11">
      <c r="A1551" s="19">
        <v>1547</v>
      </c>
      <c r="B1551" s="20" t="s">
        <v>1253</v>
      </c>
      <c r="C1551" s="20" t="s">
        <v>1663</v>
      </c>
      <c r="D1551" s="20" t="s">
        <v>1678</v>
      </c>
      <c r="E1551" s="21" t="s">
        <v>17</v>
      </c>
      <c r="F1551" s="20" t="s">
        <v>18</v>
      </c>
      <c r="G1551" s="20" t="s">
        <v>19</v>
      </c>
      <c r="H1551" s="23">
        <v>45352</v>
      </c>
      <c r="I1551" s="19">
        <v>600</v>
      </c>
      <c r="J1551" s="24" t="s">
        <v>20</v>
      </c>
      <c r="K1551" s="19"/>
    </row>
    <row r="1552" ht="31" customHeight="1" spans="1:11">
      <c r="A1552" s="19">
        <v>1548</v>
      </c>
      <c r="B1552" s="19" t="s">
        <v>1253</v>
      </c>
      <c r="C1552" s="19" t="s">
        <v>1679</v>
      </c>
      <c r="D1552" s="19" t="s">
        <v>1680</v>
      </c>
      <c r="E1552" s="31" t="s">
        <v>17</v>
      </c>
      <c r="F1552" s="19" t="s">
        <v>18</v>
      </c>
      <c r="G1552" s="19" t="s">
        <v>19</v>
      </c>
      <c r="H1552" s="31" t="s">
        <v>401</v>
      </c>
      <c r="I1552" s="19">
        <f>IF(F1552="是",VLOOKUP(G1552,[243]Sheet2!A:C,3,FALSE),VLOOKUP(G1552,[243]Sheet2!A:B,2,FALSE))</f>
        <v>600</v>
      </c>
      <c r="J1552" s="24" t="s">
        <v>20</v>
      </c>
      <c r="K1552" s="19"/>
    </row>
    <row r="1553" ht="31" customHeight="1" spans="1:11">
      <c r="A1553" s="19">
        <v>1549</v>
      </c>
      <c r="B1553" s="19" t="s">
        <v>1253</v>
      </c>
      <c r="C1553" s="19" t="s">
        <v>1679</v>
      </c>
      <c r="D1553" s="19" t="s">
        <v>1681</v>
      </c>
      <c r="E1553" s="31" t="s">
        <v>17</v>
      </c>
      <c r="F1553" s="19" t="s">
        <v>18</v>
      </c>
      <c r="G1553" s="19" t="s">
        <v>19</v>
      </c>
      <c r="H1553" s="31" t="s">
        <v>446</v>
      </c>
      <c r="I1553" s="19">
        <f>IF(F1553="是",VLOOKUP(G1553,[243]Sheet2!A:C,3,FALSE),VLOOKUP(G1553,[243]Sheet2!A:B,2,FALSE))</f>
        <v>600</v>
      </c>
      <c r="J1553" s="24" t="s">
        <v>20</v>
      </c>
      <c r="K1553" s="19"/>
    </row>
    <row r="1554" ht="31" customHeight="1" spans="1:11">
      <c r="A1554" s="19">
        <v>1550</v>
      </c>
      <c r="B1554" s="19" t="s">
        <v>1253</v>
      </c>
      <c r="C1554" s="19" t="s">
        <v>1679</v>
      </c>
      <c r="D1554" s="19" t="s">
        <v>1682</v>
      </c>
      <c r="E1554" s="31" t="s">
        <v>17</v>
      </c>
      <c r="F1554" s="19" t="s">
        <v>18</v>
      </c>
      <c r="G1554" s="19" t="s">
        <v>19</v>
      </c>
      <c r="H1554" s="37">
        <v>45323</v>
      </c>
      <c r="I1554" s="19">
        <v>600</v>
      </c>
      <c r="J1554" s="24" t="s">
        <v>20</v>
      </c>
      <c r="K1554" s="19"/>
    </row>
    <row r="1555" ht="31" customHeight="1" spans="1:11">
      <c r="A1555" s="19">
        <v>1551</v>
      </c>
      <c r="B1555" s="19" t="s">
        <v>1253</v>
      </c>
      <c r="C1555" s="19" t="s">
        <v>1679</v>
      </c>
      <c r="D1555" s="19" t="s">
        <v>1683</v>
      </c>
      <c r="E1555" s="31" t="s">
        <v>17</v>
      </c>
      <c r="F1555" s="19" t="s">
        <v>18</v>
      </c>
      <c r="G1555" s="19" t="s">
        <v>19</v>
      </c>
      <c r="H1555" s="37">
        <v>45323</v>
      </c>
      <c r="I1555" s="19">
        <v>600</v>
      </c>
      <c r="J1555" s="24" t="s">
        <v>20</v>
      </c>
      <c r="K1555" s="19"/>
    </row>
    <row r="1556" ht="31" customHeight="1" spans="1:11">
      <c r="A1556" s="19">
        <v>1552</v>
      </c>
      <c r="B1556" s="19" t="s">
        <v>1253</v>
      </c>
      <c r="C1556" s="19" t="s">
        <v>1679</v>
      </c>
      <c r="D1556" s="20" t="s">
        <v>1684</v>
      </c>
      <c r="E1556" s="31" t="s">
        <v>17</v>
      </c>
      <c r="F1556" s="19" t="s">
        <v>18</v>
      </c>
      <c r="G1556" s="19" t="s">
        <v>19</v>
      </c>
      <c r="H1556" s="37">
        <v>45352</v>
      </c>
      <c r="I1556" s="19">
        <f>IF(F1556="是",VLOOKUP(G1556,[252]Sheet2!A:C,3,FALSE),VLOOKUP(G1556,[252]Sheet2!A:B,2,FALSE))</f>
        <v>600</v>
      </c>
      <c r="J1556" s="24" t="s">
        <v>20</v>
      </c>
      <c r="K1556" s="19"/>
    </row>
    <row r="1557" ht="31" customHeight="1" spans="1:11">
      <c r="A1557" s="19">
        <v>1553</v>
      </c>
      <c r="B1557" s="19" t="s">
        <v>1253</v>
      </c>
      <c r="C1557" s="19" t="s">
        <v>1679</v>
      </c>
      <c r="D1557" s="19" t="s">
        <v>1685</v>
      </c>
      <c r="E1557" s="31" t="s">
        <v>17</v>
      </c>
      <c r="F1557" s="19" t="s">
        <v>18</v>
      </c>
      <c r="G1557" s="19" t="s">
        <v>351</v>
      </c>
      <c r="H1557" s="37">
        <v>45323</v>
      </c>
      <c r="I1557" s="19">
        <f>IF(F1557="是",VLOOKUP(G1557,[244]Sheet2!A:C,3,FALSE),VLOOKUP(G1557,[244]Sheet2!A:B,2,FALSE))</f>
        <v>800</v>
      </c>
      <c r="J1557" s="24" t="s">
        <v>20</v>
      </c>
      <c r="K1557" s="19"/>
    </row>
    <row r="1558" ht="31" customHeight="1" spans="1:11">
      <c r="A1558" s="19">
        <v>1554</v>
      </c>
      <c r="B1558" s="19" t="s">
        <v>1253</v>
      </c>
      <c r="C1558" s="19" t="s">
        <v>1679</v>
      </c>
      <c r="D1558" s="19" t="s">
        <v>1686</v>
      </c>
      <c r="E1558" s="31" t="s">
        <v>17</v>
      </c>
      <c r="F1558" s="19" t="s">
        <v>18</v>
      </c>
      <c r="G1558" s="19" t="s">
        <v>351</v>
      </c>
      <c r="H1558" s="37">
        <v>45323</v>
      </c>
      <c r="I1558" s="19">
        <f>IF(F1558="是",VLOOKUP(G1558,[244]Sheet2!A:C,3,FALSE),VLOOKUP(G1558,[244]Sheet2!A:B,2,FALSE))</f>
        <v>800</v>
      </c>
      <c r="J1558" s="24" t="s">
        <v>20</v>
      </c>
      <c r="K1558" s="19"/>
    </row>
    <row r="1559" ht="31" customHeight="1" spans="1:11">
      <c r="A1559" s="19">
        <v>1555</v>
      </c>
      <c r="B1559" s="19" t="s">
        <v>1253</v>
      </c>
      <c r="C1559" s="19" t="s">
        <v>1679</v>
      </c>
      <c r="D1559" s="19" t="s">
        <v>1687</v>
      </c>
      <c r="E1559" s="31" t="s">
        <v>17</v>
      </c>
      <c r="F1559" s="19" t="s">
        <v>18</v>
      </c>
      <c r="G1559" s="19" t="s">
        <v>19</v>
      </c>
      <c r="H1559" s="37">
        <v>45383</v>
      </c>
      <c r="I1559" s="19">
        <v>600</v>
      </c>
      <c r="J1559" s="24" t="s">
        <v>20</v>
      </c>
      <c r="K1559" s="19"/>
    </row>
    <row r="1560" ht="31" customHeight="1" spans="1:11">
      <c r="A1560" s="19">
        <v>1556</v>
      </c>
      <c r="B1560" s="19" t="s">
        <v>1253</v>
      </c>
      <c r="C1560" s="19" t="s">
        <v>1679</v>
      </c>
      <c r="D1560" s="19" t="s">
        <v>1688</v>
      </c>
      <c r="E1560" s="31" t="s">
        <v>17</v>
      </c>
      <c r="F1560" s="19" t="s">
        <v>18</v>
      </c>
      <c r="G1560" s="19" t="s">
        <v>19</v>
      </c>
      <c r="H1560" s="37">
        <v>45323</v>
      </c>
      <c r="I1560" s="19">
        <v>600</v>
      </c>
      <c r="J1560" s="24" t="s">
        <v>20</v>
      </c>
      <c r="K1560" s="19"/>
    </row>
    <row r="1561" ht="31" customHeight="1" spans="1:11">
      <c r="A1561" s="19">
        <v>1557</v>
      </c>
      <c r="B1561" s="19" t="s">
        <v>1253</v>
      </c>
      <c r="C1561" s="19" t="s">
        <v>1679</v>
      </c>
      <c r="D1561" s="19" t="s">
        <v>1689</v>
      </c>
      <c r="E1561" s="31" t="s">
        <v>17</v>
      </c>
      <c r="F1561" s="19" t="s">
        <v>18</v>
      </c>
      <c r="G1561" s="19" t="s">
        <v>19</v>
      </c>
      <c r="H1561" s="37">
        <v>45413</v>
      </c>
      <c r="I1561" s="19">
        <v>600</v>
      </c>
      <c r="J1561" s="24" t="s">
        <v>20</v>
      </c>
      <c r="K1561" s="19"/>
    </row>
    <row r="1562" ht="31" customHeight="1" spans="1:11">
      <c r="A1562" s="19">
        <v>1558</v>
      </c>
      <c r="B1562" s="19" t="s">
        <v>1253</v>
      </c>
      <c r="C1562" s="19" t="s">
        <v>1679</v>
      </c>
      <c r="D1562" s="19" t="s">
        <v>1690</v>
      </c>
      <c r="E1562" s="31" t="s">
        <v>17</v>
      </c>
      <c r="F1562" s="19" t="s">
        <v>18</v>
      </c>
      <c r="G1562" s="19" t="s">
        <v>19</v>
      </c>
      <c r="H1562" s="37">
        <v>45413</v>
      </c>
      <c r="I1562" s="19">
        <v>600</v>
      </c>
      <c r="J1562" s="24" t="s">
        <v>20</v>
      </c>
      <c r="K1562" s="19"/>
    </row>
    <row r="1563" ht="31" customHeight="1" spans="1:11">
      <c r="A1563" s="19">
        <v>1559</v>
      </c>
      <c r="B1563" s="19" t="s">
        <v>1253</v>
      </c>
      <c r="C1563" s="19" t="s">
        <v>1679</v>
      </c>
      <c r="D1563" s="19" t="s">
        <v>1691</v>
      </c>
      <c r="E1563" s="31" t="s">
        <v>17</v>
      </c>
      <c r="F1563" s="19" t="s">
        <v>18</v>
      </c>
      <c r="G1563" s="19" t="s">
        <v>19</v>
      </c>
      <c r="H1563" s="37">
        <v>45292</v>
      </c>
      <c r="I1563" s="19">
        <f>IF(F1563="是",VLOOKUP(G1563,[245]Sheet2!A:C,3,FALSE),VLOOKUP(G1563,[245]Sheet2!A:B,2,FALSE))</f>
        <v>600</v>
      </c>
      <c r="J1563" s="24" t="s">
        <v>20</v>
      </c>
      <c r="K1563" s="19"/>
    </row>
    <row r="1564" ht="31" customHeight="1" spans="1:11">
      <c r="A1564" s="19">
        <v>1560</v>
      </c>
      <c r="B1564" s="19" t="s">
        <v>1253</v>
      </c>
      <c r="C1564" s="19" t="s">
        <v>1679</v>
      </c>
      <c r="D1564" s="19" t="s">
        <v>1692</v>
      </c>
      <c r="E1564" s="31" t="s">
        <v>17</v>
      </c>
      <c r="F1564" s="19" t="s">
        <v>18</v>
      </c>
      <c r="G1564" s="19" t="s">
        <v>19</v>
      </c>
      <c r="H1564" s="37">
        <v>45292</v>
      </c>
      <c r="I1564" s="19">
        <v>600</v>
      </c>
      <c r="J1564" s="24" t="s">
        <v>20</v>
      </c>
      <c r="K1564" s="19"/>
    </row>
    <row r="1565" ht="31" customHeight="1" spans="1:11">
      <c r="A1565" s="19">
        <v>1561</v>
      </c>
      <c r="B1565" s="19" t="s">
        <v>1253</v>
      </c>
      <c r="C1565" s="19" t="s">
        <v>1679</v>
      </c>
      <c r="D1565" s="19" t="s">
        <v>1693</v>
      </c>
      <c r="E1565" s="31" t="s">
        <v>17</v>
      </c>
      <c r="F1565" s="19" t="s">
        <v>18</v>
      </c>
      <c r="G1565" s="19" t="s">
        <v>118</v>
      </c>
      <c r="H1565" s="37">
        <v>45323</v>
      </c>
      <c r="I1565" s="19">
        <v>800</v>
      </c>
      <c r="J1565" s="24" t="s">
        <v>20</v>
      </c>
      <c r="K1565" s="19"/>
    </row>
    <row r="1566" ht="31" customHeight="1" spans="1:11">
      <c r="A1566" s="19">
        <v>1562</v>
      </c>
      <c r="B1566" s="19" t="s">
        <v>1253</v>
      </c>
      <c r="C1566" s="19" t="s">
        <v>1679</v>
      </c>
      <c r="D1566" s="19" t="s">
        <v>1694</v>
      </c>
      <c r="E1566" s="31" t="s">
        <v>17</v>
      </c>
      <c r="F1566" s="19" t="s">
        <v>18</v>
      </c>
      <c r="G1566" s="19" t="s">
        <v>19</v>
      </c>
      <c r="H1566" s="37">
        <v>45383</v>
      </c>
      <c r="I1566" s="19">
        <v>600</v>
      </c>
      <c r="J1566" s="24" t="s">
        <v>20</v>
      </c>
      <c r="K1566" s="19"/>
    </row>
    <row r="1567" ht="31" customHeight="1" spans="1:11">
      <c r="A1567" s="19">
        <v>1563</v>
      </c>
      <c r="B1567" s="19" t="s">
        <v>1253</v>
      </c>
      <c r="C1567" s="20" t="s">
        <v>1679</v>
      </c>
      <c r="D1567" s="20" t="s">
        <v>1695</v>
      </c>
      <c r="E1567" s="31" t="s">
        <v>17</v>
      </c>
      <c r="F1567" s="19" t="s">
        <v>18</v>
      </c>
      <c r="G1567" s="19" t="s">
        <v>32</v>
      </c>
      <c r="H1567" s="37">
        <v>45352</v>
      </c>
      <c r="I1567" s="19">
        <f>IF(F1567="是",VLOOKUP(G1567,[246]Sheet2!A:C,3,FALSE),VLOOKUP(G1567,[246]Sheet2!A:B,2,FALSE))</f>
        <v>800</v>
      </c>
      <c r="J1567" s="24" t="s">
        <v>20</v>
      </c>
      <c r="K1567" s="19"/>
    </row>
    <row r="1568" ht="31" customHeight="1" spans="1:11">
      <c r="A1568" s="19">
        <v>1564</v>
      </c>
      <c r="B1568" s="19" t="s">
        <v>1253</v>
      </c>
      <c r="C1568" s="19" t="s">
        <v>1679</v>
      </c>
      <c r="D1568" s="19" t="s">
        <v>1696</v>
      </c>
      <c r="E1568" s="31" t="s">
        <v>17</v>
      </c>
      <c r="F1568" s="19" t="s">
        <v>18</v>
      </c>
      <c r="G1568" s="19" t="s">
        <v>19</v>
      </c>
      <c r="H1568" s="37">
        <v>45383</v>
      </c>
      <c r="I1568" s="19">
        <f>IF(F1568="是",VLOOKUP(G1568,[247]Sheet2!A:C,3,FALSE),VLOOKUP(G1568,[247]Sheet2!A:B,2,FALSE))</f>
        <v>600</v>
      </c>
      <c r="J1568" s="24" t="s">
        <v>20</v>
      </c>
      <c r="K1568" s="19"/>
    </row>
    <row r="1569" ht="31" customHeight="1" spans="1:11">
      <c r="A1569" s="19">
        <v>1565</v>
      </c>
      <c r="B1569" s="19" t="s">
        <v>1253</v>
      </c>
      <c r="C1569" s="19" t="s">
        <v>1679</v>
      </c>
      <c r="D1569" s="19" t="s">
        <v>1697</v>
      </c>
      <c r="E1569" s="31" t="s">
        <v>17</v>
      </c>
      <c r="F1569" s="19" t="s">
        <v>18</v>
      </c>
      <c r="G1569" s="19" t="s">
        <v>19</v>
      </c>
      <c r="H1569" s="37">
        <v>45292</v>
      </c>
      <c r="I1569" s="19">
        <f>IF(F1569="是",VLOOKUP(G1569,[248]Sheet2!A:C,3,FALSE),VLOOKUP(G1569,[248]Sheet2!A:B,2,FALSE))</f>
        <v>600</v>
      </c>
      <c r="J1569" s="24" t="s">
        <v>20</v>
      </c>
      <c r="K1569" s="19"/>
    </row>
    <row r="1570" ht="31" customHeight="1" spans="1:11">
      <c r="A1570" s="19">
        <v>1566</v>
      </c>
      <c r="B1570" s="19" t="s">
        <v>1253</v>
      </c>
      <c r="C1570" s="19" t="s">
        <v>1679</v>
      </c>
      <c r="D1570" s="19" t="s">
        <v>1698</v>
      </c>
      <c r="E1570" s="31" t="s">
        <v>17</v>
      </c>
      <c r="F1570" s="19" t="s">
        <v>18</v>
      </c>
      <c r="G1570" s="19" t="s">
        <v>19</v>
      </c>
      <c r="H1570" s="37">
        <v>45292</v>
      </c>
      <c r="I1570" s="19">
        <f>IF(F1570="是",VLOOKUP(G1570,[248]Sheet2!A:C,3,FALSE),VLOOKUP(G1570,[248]Sheet2!A:B,2,FALSE))</f>
        <v>600</v>
      </c>
      <c r="J1570" s="24" t="s">
        <v>20</v>
      </c>
      <c r="K1570" s="19"/>
    </row>
    <row r="1571" ht="31" customHeight="1" spans="1:11">
      <c r="A1571" s="19">
        <v>1567</v>
      </c>
      <c r="B1571" s="19" t="s">
        <v>1253</v>
      </c>
      <c r="C1571" s="19" t="s">
        <v>1679</v>
      </c>
      <c r="D1571" s="19" t="s">
        <v>1699</v>
      </c>
      <c r="E1571" s="31" t="s">
        <v>17</v>
      </c>
      <c r="F1571" s="19" t="s">
        <v>18</v>
      </c>
      <c r="G1571" s="19" t="s">
        <v>19</v>
      </c>
      <c r="H1571" s="37">
        <v>45292</v>
      </c>
      <c r="I1571" s="19">
        <f>IF(F1571="是",VLOOKUP(G1571,[250]Sheet2!A:C,3,FALSE),VLOOKUP(G1571,[250]Sheet2!A:B,2,FALSE))</f>
        <v>600</v>
      </c>
      <c r="J1571" s="24" t="s">
        <v>20</v>
      </c>
      <c r="K1571" s="19"/>
    </row>
    <row r="1572" ht="31" customHeight="1" spans="1:11">
      <c r="A1572" s="19">
        <v>1568</v>
      </c>
      <c r="B1572" s="19" t="s">
        <v>1253</v>
      </c>
      <c r="C1572" s="19" t="s">
        <v>1679</v>
      </c>
      <c r="D1572" s="19" t="s">
        <v>1700</v>
      </c>
      <c r="E1572" s="31" t="s">
        <v>17</v>
      </c>
      <c r="F1572" s="19" t="s">
        <v>18</v>
      </c>
      <c r="G1572" s="19" t="s">
        <v>19</v>
      </c>
      <c r="H1572" s="37">
        <v>45292</v>
      </c>
      <c r="I1572" s="19">
        <f>IF(F1572="是",VLOOKUP(G1572,[249]Sheet2!A:C,3,FALSE),VLOOKUP(G1572,[249]Sheet2!A:B,2,FALSE))</f>
        <v>600</v>
      </c>
      <c r="J1572" s="24" t="s">
        <v>20</v>
      </c>
      <c r="K1572" s="19"/>
    </row>
    <row r="1573" ht="31" customHeight="1" spans="1:11">
      <c r="A1573" s="19">
        <v>1569</v>
      </c>
      <c r="B1573" s="19" t="s">
        <v>1253</v>
      </c>
      <c r="C1573" s="19" t="s">
        <v>1679</v>
      </c>
      <c r="D1573" s="19" t="s">
        <v>1701</v>
      </c>
      <c r="E1573" s="31" t="s">
        <v>17</v>
      </c>
      <c r="F1573" s="19" t="s">
        <v>18</v>
      </c>
      <c r="G1573" s="19" t="s">
        <v>19</v>
      </c>
      <c r="H1573" s="37">
        <v>45383</v>
      </c>
      <c r="I1573" s="19">
        <v>600</v>
      </c>
      <c r="J1573" s="24" t="s">
        <v>20</v>
      </c>
      <c r="K1573" s="19"/>
    </row>
    <row r="1574" ht="31" customHeight="1" spans="1:11">
      <c r="A1574" s="19">
        <v>1570</v>
      </c>
      <c r="B1574" s="19" t="s">
        <v>1253</v>
      </c>
      <c r="C1574" s="19" t="s">
        <v>1679</v>
      </c>
      <c r="D1574" s="51" t="s">
        <v>1702</v>
      </c>
      <c r="E1574" s="31" t="s">
        <v>17</v>
      </c>
      <c r="F1574" s="19" t="s">
        <v>18</v>
      </c>
      <c r="G1574" s="19" t="s">
        <v>19</v>
      </c>
      <c r="H1574" s="37">
        <v>45413</v>
      </c>
      <c r="I1574" s="19">
        <f>IF(F1574="是",VLOOKUP(G1574,[251]Sheet2!A:C,3,FALSE),VLOOKUP(G1574,[251]Sheet2!A:B,2,FALSE))</f>
        <v>600</v>
      </c>
      <c r="J1574" s="24" t="s">
        <v>20</v>
      </c>
      <c r="K1574" s="19"/>
    </row>
    <row r="1575" ht="31" customHeight="1" spans="1:11">
      <c r="A1575" s="19">
        <v>1571</v>
      </c>
      <c r="B1575" s="19" t="s">
        <v>1253</v>
      </c>
      <c r="C1575" s="19" t="s">
        <v>1679</v>
      </c>
      <c r="D1575" s="19" t="s">
        <v>1703</v>
      </c>
      <c r="E1575" s="31" t="s">
        <v>17</v>
      </c>
      <c r="F1575" s="19" t="s">
        <v>18</v>
      </c>
      <c r="G1575" s="19" t="s">
        <v>19</v>
      </c>
      <c r="H1575" s="37">
        <v>45352</v>
      </c>
      <c r="I1575" s="19">
        <f>IF(F1575="是",VLOOKUP(G1575,[268]Sheet2!A:C,3,FALSE),VLOOKUP(G1575,[268]Sheet2!A:B,2,FALSE))</f>
        <v>600</v>
      </c>
      <c r="J1575" s="24" t="s">
        <v>20</v>
      </c>
      <c r="K1575" s="19"/>
    </row>
    <row r="1576" ht="31" customHeight="1" spans="1:11">
      <c r="A1576" s="19">
        <v>1572</v>
      </c>
      <c r="B1576" s="19" t="s">
        <v>1253</v>
      </c>
      <c r="C1576" s="19" t="s">
        <v>1679</v>
      </c>
      <c r="D1576" s="19" t="s">
        <v>1704</v>
      </c>
      <c r="E1576" s="31" t="s">
        <v>17</v>
      </c>
      <c r="F1576" s="19" t="s">
        <v>18</v>
      </c>
      <c r="G1576" s="19" t="s">
        <v>19</v>
      </c>
      <c r="H1576" s="37">
        <v>45323</v>
      </c>
      <c r="I1576" s="19">
        <f>IF(F1576="是",VLOOKUP(G1576,[268]Sheet2!A:C,3,FALSE),VLOOKUP(G1576,[268]Sheet2!A:B,2,FALSE))</f>
        <v>600</v>
      </c>
      <c r="J1576" s="24" t="s">
        <v>20</v>
      </c>
      <c r="K1576" s="19"/>
    </row>
    <row r="1577" ht="31" customHeight="1" spans="1:11">
      <c r="A1577" s="19">
        <v>1573</v>
      </c>
      <c r="B1577" s="19" t="s">
        <v>1253</v>
      </c>
      <c r="C1577" s="19" t="s">
        <v>1679</v>
      </c>
      <c r="D1577" s="20" t="s">
        <v>1705</v>
      </c>
      <c r="E1577" s="31" t="s">
        <v>17</v>
      </c>
      <c r="F1577" s="20" t="s">
        <v>18</v>
      </c>
      <c r="G1577" s="20" t="s">
        <v>19</v>
      </c>
      <c r="H1577" s="23">
        <v>45352</v>
      </c>
      <c r="I1577" s="19">
        <v>600</v>
      </c>
      <c r="J1577" s="24" t="s">
        <v>20</v>
      </c>
      <c r="K1577" s="19"/>
    </row>
    <row r="1578" ht="31" customHeight="1" spans="1:11">
      <c r="A1578" s="19">
        <v>1574</v>
      </c>
      <c r="B1578" s="19" t="s">
        <v>1253</v>
      </c>
      <c r="C1578" s="19" t="s">
        <v>1679</v>
      </c>
      <c r="D1578" s="19" t="s">
        <v>1706</v>
      </c>
      <c r="E1578" s="31" t="s">
        <v>17</v>
      </c>
      <c r="F1578" s="19" t="s">
        <v>18</v>
      </c>
      <c r="G1578" s="19" t="s">
        <v>19</v>
      </c>
      <c r="H1578" s="31" t="s">
        <v>238</v>
      </c>
      <c r="I1578" s="19">
        <f>IF(F1578="是",VLOOKUP(G1578,[269]Sheet2!A:C,3,FALSE),VLOOKUP(G1578,[269]Sheet2!A:B,2,FALSE))</f>
        <v>600</v>
      </c>
      <c r="J1578" s="24" t="s">
        <v>20</v>
      </c>
      <c r="K1578" s="19"/>
    </row>
    <row r="1579" ht="31" customHeight="1" spans="1:11">
      <c r="A1579" s="19">
        <v>1575</v>
      </c>
      <c r="B1579" s="19" t="s">
        <v>1253</v>
      </c>
      <c r="C1579" s="19" t="s">
        <v>1679</v>
      </c>
      <c r="D1579" s="19" t="s">
        <v>1707</v>
      </c>
      <c r="E1579" s="31" t="s">
        <v>17</v>
      </c>
      <c r="F1579" s="19" t="s">
        <v>18</v>
      </c>
      <c r="G1579" s="19" t="s">
        <v>19</v>
      </c>
      <c r="H1579" s="31" t="s">
        <v>238</v>
      </c>
      <c r="I1579" s="19">
        <f>IF(F1579="是",VLOOKUP(G1579,[269]Sheet2!A:C,3,FALSE),VLOOKUP(G1579,[269]Sheet2!A:B,2,FALSE))</f>
        <v>600</v>
      </c>
      <c r="J1579" s="24" t="s">
        <v>20</v>
      </c>
      <c r="K1579" s="19"/>
    </row>
    <row r="1580" ht="31" customHeight="1" spans="1:11">
      <c r="A1580" s="19">
        <v>1576</v>
      </c>
      <c r="B1580" s="19" t="s">
        <v>1253</v>
      </c>
      <c r="C1580" s="19" t="s">
        <v>1679</v>
      </c>
      <c r="D1580" s="19" t="s">
        <v>1708</v>
      </c>
      <c r="E1580" s="31" t="s">
        <v>17</v>
      </c>
      <c r="F1580" s="19" t="s">
        <v>18</v>
      </c>
      <c r="G1580" s="19" t="s">
        <v>38</v>
      </c>
      <c r="H1580" s="31" t="s">
        <v>238</v>
      </c>
      <c r="I1580" s="19">
        <v>600</v>
      </c>
      <c r="J1580" s="24" t="s">
        <v>20</v>
      </c>
      <c r="K1580" s="19"/>
    </row>
    <row r="1581" ht="31" customHeight="1" spans="1:11">
      <c r="A1581" s="19">
        <v>1577</v>
      </c>
      <c r="B1581" s="19" t="s">
        <v>1253</v>
      </c>
      <c r="C1581" s="19" t="s">
        <v>1679</v>
      </c>
      <c r="D1581" s="19" t="s">
        <v>1709</v>
      </c>
      <c r="E1581" s="31" t="s">
        <v>17</v>
      </c>
      <c r="F1581" s="19" t="s">
        <v>18</v>
      </c>
      <c r="G1581" s="19" t="s">
        <v>19</v>
      </c>
      <c r="H1581" s="44">
        <v>45352</v>
      </c>
      <c r="I1581" s="19">
        <v>600</v>
      </c>
      <c r="J1581" s="24" t="s">
        <v>20</v>
      </c>
      <c r="K1581" s="19"/>
    </row>
    <row r="1582" ht="31" customHeight="1" spans="1:11">
      <c r="A1582" s="19">
        <v>1578</v>
      </c>
      <c r="B1582" s="19" t="s">
        <v>1253</v>
      </c>
      <c r="C1582" s="19" t="s">
        <v>1679</v>
      </c>
      <c r="D1582" s="19" t="s">
        <v>1710</v>
      </c>
      <c r="E1582" s="31" t="s">
        <v>17</v>
      </c>
      <c r="F1582" s="19" t="s">
        <v>18</v>
      </c>
      <c r="G1582" s="19" t="s">
        <v>98</v>
      </c>
      <c r="H1582" s="44">
        <v>45323</v>
      </c>
      <c r="I1582" s="19">
        <v>800</v>
      </c>
      <c r="J1582" s="24" t="s">
        <v>20</v>
      </c>
      <c r="K1582" s="19"/>
    </row>
    <row r="1583" ht="31" customHeight="1" spans="1:11">
      <c r="A1583" s="19">
        <v>1579</v>
      </c>
      <c r="B1583" s="19" t="s">
        <v>1253</v>
      </c>
      <c r="C1583" s="47" t="s">
        <v>1711</v>
      </c>
      <c r="D1583" s="47" t="s">
        <v>1712</v>
      </c>
      <c r="E1583" s="31" t="s">
        <v>17</v>
      </c>
      <c r="F1583" s="19" t="s">
        <v>18</v>
      </c>
      <c r="G1583" s="19" t="s">
        <v>19</v>
      </c>
      <c r="H1583" s="37">
        <v>45323</v>
      </c>
      <c r="I1583" s="19">
        <f>IF(F1583="是",VLOOKUP(G1583,[253]Sheet2!A:C,3,FALSE),VLOOKUP(G1583,[253]Sheet2!A:B,2,FALSE))</f>
        <v>600</v>
      </c>
      <c r="J1583" s="24" t="s">
        <v>20</v>
      </c>
      <c r="K1583" s="19"/>
    </row>
    <row r="1584" ht="31" customHeight="1" spans="1:11">
      <c r="A1584" s="19">
        <v>1580</v>
      </c>
      <c r="B1584" s="19" t="s">
        <v>1253</v>
      </c>
      <c r="C1584" s="47" t="s">
        <v>1711</v>
      </c>
      <c r="D1584" s="19" t="s">
        <v>1713</v>
      </c>
      <c r="E1584" s="31" t="s">
        <v>17</v>
      </c>
      <c r="F1584" s="19" t="s">
        <v>18</v>
      </c>
      <c r="G1584" s="19" t="s">
        <v>55</v>
      </c>
      <c r="H1584" s="37">
        <v>45292</v>
      </c>
      <c r="I1584" s="19">
        <f>IF(F1584="是",VLOOKUP(G1584,[253]Sheet2!A:C,3,FALSE),VLOOKUP(G1584,[253]Sheet2!A:B,2,FALSE))</f>
        <v>800</v>
      </c>
      <c r="J1584" s="24" t="s">
        <v>20</v>
      </c>
      <c r="K1584" s="19"/>
    </row>
    <row r="1585" ht="31" customHeight="1" spans="1:11">
      <c r="A1585" s="19">
        <v>1581</v>
      </c>
      <c r="B1585" s="19" t="s">
        <v>1253</v>
      </c>
      <c r="C1585" s="47" t="s">
        <v>1711</v>
      </c>
      <c r="D1585" s="19" t="s">
        <v>1714</v>
      </c>
      <c r="E1585" s="31" t="s">
        <v>17</v>
      </c>
      <c r="F1585" s="19" t="s">
        <v>18</v>
      </c>
      <c r="G1585" s="19" t="s">
        <v>19</v>
      </c>
      <c r="H1585" s="37">
        <v>45323</v>
      </c>
      <c r="I1585" s="19">
        <f>IF(F1585="是",VLOOKUP(G1585,[253]Sheet2!A:C,3,FALSE),VLOOKUP(G1585,[253]Sheet2!A:B,2,FALSE))</f>
        <v>600</v>
      </c>
      <c r="J1585" s="24" t="s">
        <v>20</v>
      </c>
      <c r="K1585" s="19"/>
    </row>
    <row r="1586" ht="31" customHeight="1" spans="1:11">
      <c r="A1586" s="19">
        <v>1582</v>
      </c>
      <c r="B1586" s="19" t="s">
        <v>1253</v>
      </c>
      <c r="C1586" s="47" t="s">
        <v>1711</v>
      </c>
      <c r="D1586" s="19" t="s">
        <v>1715</v>
      </c>
      <c r="E1586" s="31" t="s">
        <v>17</v>
      </c>
      <c r="F1586" s="19" t="s">
        <v>18</v>
      </c>
      <c r="G1586" s="19" t="s">
        <v>32</v>
      </c>
      <c r="H1586" s="37">
        <v>45323</v>
      </c>
      <c r="I1586" s="19">
        <f>IF(F1586="是",VLOOKUP(G1586,[253]Sheet2!A:C,3,FALSE),VLOOKUP(G1586,[253]Sheet2!A:B,2,FALSE))</f>
        <v>800</v>
      </c>
      <c r="J1586" s="24" t="s">
        <v>20</v>
      </c>
      <c r="K1586" s="19"/>
    </row>
    <row r="1587" ht="31" customHeight="1" spans="1:11">
      <c r="A1587" s="19">
        <v>1583</v>
      </c>
      <c r="B1587" s="62" t="s">
        <v>1253</v>
      </c>
      <c r="C1587" s="62" t="s">
        <v>1716</v>
      </c>
      <c r="D1587" s="62" t="s">
        <v>1717</v>
      </c>
      <c r="E1587" s="31" t="s">
        <v>17</v>
      </c>
      <c r="F1587" s="62" t="s">
        <v>18</v>
      </c>
      <c r="G1587" s="62" t="s">
        <v>32</v>
      </c>
      <c r="H1587" s="45">
        <v>45352</v>
      </c>
      <c r="I1587" s="19">
        <v>800</v>
      </c>
      <c r="J1587" s="24" t="s">
        <v>20</v>
      </c>
      <c r="K1587" s="19"/>
    </row>
    <row r="1588" ht="31" customHeight="1" spans="1:11">
      <c r="A1588" s="19">
        <v>1584</v>
      </c>
      <c r="B1588" s="62" t="s">
        <v>1253</v>
      </c>
      <c r="C1588" s="62" t="s">
        <v>1716</v>
      </c>
      <c r="D1588" s="62" t="s">
        <v>1718</v>
      </c>
      <c r="E1588" s="31" t="s">
        <v>17</v>
      </c>
      <c r="F1588" s="63" t="s">
        <v>18</v>
      </c>
      <c r="G1588" s="63" t="s">
        <v>19</v>
      </c>
      <c r="H1588" s="45">
        <v>45353</v>
      </c>
      <c r="I1588" s="19">
        <f>IF(F1588="是",VLOOKUP(G1588,[267]Sheet2!A:C,3,FALSE),VLOOKUP(G1588,[267]Sheet2!A:B,2,FALSE))</f>
        <v>600</v>
      </c>
      <c r="J1588" s="24" t="s">
        <v>20</v>
      </c>
      <c r="K1588" s="19"/>
    </row>
    <row r="1589" ht="31" customHeight="1" spans="1:11">
      <c r="A1589" s="19">
        <v>1585</v>
      </c>
      <c r="B1589" s="62" t="s">
        <v>1253</v>
      </c>
      <c r="C1589" s="62" t="s">
        <v>1716</v>
      </c>
      <c r="D1589" s="62" t="s">
        <v>1719</v>
      </c>
      <c r="E1589" s="31" t="s">
        <v>17</v>
      </c>
      <c r="F1589" s="63" t="s">
        <v>18</v>
      </c>
      <c r="G1589" s="63" t="s">
        <v>32</v>
      </c>
      <c r="H1589" s="45">
        <v>45354</v>
      </c>
      <c r="I1589" s="19">
        <f>IF(F1589="是",VLOOKUP(G1589,[267]Sheet2!A:C,3,FALSE),VLOOKUP(G1589,[267]Sheet2!A:B,2,FALSE))</f>
        <v>800</v>
      </c>
      <c r="J1589" s="24" t="s">
        <v>20</v>
      </c>
      <c r="K1589" s="19"/>
    </row>
    <row r="1590" ht="31" customHeight="1" spans="1:11">
      <c r="A1590" s="19">
        <v>1586</v>
      </c>
      <c r="B1590" s="62" t="s">
        <v>1253</v>
      </c>
      <c r="C1590" s="62" t="s">
        <v>1716</v>
      </c>
      <c r="D1590" s="62" t="s">
        <v>1720</v>
      </c>
      <c r="E1590" s="31" t="s">
        <v>17</v>
      </c>
      <c r="F1590" s="63" t="s">
        <v>18</v>
      </c>
      <c r="G1590" s="63" t="s">
        <v>19</v>
      </c>
      <c r="H1590" s="45">
        <v>45352</v>
      </c>
      <c r="I1590" s="19">
        <f>IF(F1590="是",VLOOKUP(G1590,[267]Sheet2!A:C,3,FALSE),VLOOKUP(G1590,[267]Sheet2!A:B,2,FALSE))</f>
        <v>600</v>
      </c>
      <c r="J1590" s="24" t="s">
        <v>20</v>
      </c>
      <c r="K1590" s="19"/>
    </row>
    <row r="1591" ht="31" customHeight="1" spans="1:11">
      <c r="A1591" s="19">
        <v>1587</v>
      </c>
      <c r="B1591" s="62" t="s">
        <v>1253</v>
      </c>
      <c r="C1591" s="62" t="s">
        <v>1716</v>
      </c>
      <c r="D1591" s="62" t="s">
        <v>1721</v>
      </c>
      <c r="E1591" s="31" t="s">
        <v>17</v>
      </c>
      <c r="F1591" s="63" t="s">
        <v>18</v>
      </c>
      <c r="G1591" s="63" t="s">
        <v>19</v>
      </c>
      <c r="H1591" s="45">
        <v>45353</v>
      </c>
      <c r="I1591" s="19">
        <f>IF(F1591="是",VLOOKUP(G1591,[267]Sheet2!A:C,3,FALSE),VLOOKUP(G1591,[267]Sheet2!A:B,2,FALSE))</f>
        <v>600</v>
      </c>
      <c r="J1591" s="24" t="s">
        <v>20</v>
      </c>
      <c r="K1591" s="19"/>
    </row>
    <row r="1592" ht="31" customHeight="1" spans="1:11">
      <c r="A1592" s="19">
        <v>1588</v>
      </c>
      <c r="B1592" s="62" t="s">
        <v>1253</v>
      </c>
      <c r="C1592" s="62" t="s">
        <v>1716</v>
      </c>
      <c r="D1592" s="62" t="s">
        <v>1722</v>
      </c>
      <c r="E1592" s="31" t="s">
        <v>17</v>
      </c>
      <c r="F1592" s="63" t="s">
        <v>18</v>
      </c>
      <c r="G1592" s="63" t="s">
        <v>19</v>
      </c>
      <c r="H1592" s="45">
        <v>45354</v>
      </c>
      <c r="I1592" s="19">
        <f>IF(F1592="是",VLOOKUP(G1592,[267]Sheet2!A:C,3,FALSE),VLOOKUP(G1592,[267]Sheet2!A:B,2,FALSE))</f>
        <v>600</v>
      </c>
      <c r="J1592" s="24" t="s">
        <v>20</v>
      </c>
      <c r="K1592" s="19"/>
    </row>
    <row r="1593" ht="31" customHeight="1" spans="1:11">
      <c r="A1593" s="19">
        <v>1589</v>
      </c>
      <c r="B1593" s="62" t="s">
        <v>1253</v>
      </c>
      <c r="C1593" s="62" t="s">
        <v>1716</v>
      </c>
      <c r="D1593" s="62" t="s">
        <v>1723</v>
      </c>
      <c r="E1593" s="31" t="s">
        <v>17</v>
      </c>
      <c r="F1593" s="63" t="s">
        <v>18</v>
      </c>
      <c r="G1593" s="63" t="s">
        <v>19</v>
      </c>
      <c r="H1593" s="45">
        <v>45355</v>
      </c>
      <c r="I1593" s="19">
        <f>IF(F1593="是",VLOOKUP(G1593,[267]Sheet2!A:C,3,FALSE),VLOOKUP(G1593,[267]Sheet2!A:B,2,FALSE))</f>
        <v>600</v>
      </c>
      <c r="J1593" s="24" t="s">
        <v>20</v>
      </c>
      <c r="K1593" s="19"/>
    </row>
    <row r="1594" ht="31" customHeight="1" spans="1:11">
      <c r="A1594" s="19">
        <v>1590</v>
      </c>
      <c r="B1594" s="63" t="s">
        <v>1253</v>
      </c>
      <c r="C1594" s="63" t="s">
        <v>1716</v>
      </c>
      <c r="D1594" s="63" t="s">
        <v>1724</v>
      </c>
      <c r="E1594" s="31" t="s">
        <v>17</v>
      </c>
      <c r="F1594" s="63" t="s">
        <v>18</v>
      </c>
      <c r="G1594" s="63" t="s">
        <v>19</v>
      </c>
      <c r="H1594" s="45">
        <v>45352</v>
      </c>
      <c r="I1594" s="19">
        <v>600</v>
      </c>
      <c r="J1594" s="24" t="s">
        <v>20</v>
      </c>
      <c r="K1594" s="19"/>
    </row>
    <row r="1595" ht="31" customHeight="1" spans="1:11">
      <c r="A1595" s="19">
        <v>1591</v>
      </c>
      <c r="B1595" s="19" t="s">
        <v>1253</v>
      </c>
      <c r="C1595" s="20" t="s">
        <v>1725</v>
      </c>
      <c r="D1595" s="20" t="s">
        <v>1726</v>
      </c>
      <c r="E1595" s="31" t="s">
        <v>17</v>
      </c>
      <c r="F1595" s="63" t="s">
        <v>18</v>
      </c>
      <c r="G1595" s="19" t="s">
        <v>19</v>
      </c>
      <c r="H1595" s="37">
        <v>45323</v>
      </c>
      <c r="I1595" s="19">
        <v>600</v>
      </c>
      <c r="J1595" s="24" t="s">
        <v>20</v>
      </c>
      <c r="K1595" s="19"/>
    </row>
    <row r="1596" ht="31" customHeight="1" spans="1:11">
      <c r="A1596" s="19">
        <v>1592</v>
      </c>
      <c r="B1596" s="19" t="s">
        <v>1253</v>
      </c>
      <c r="C1596" s="19" t="s">
        <v>1725</v>
      </c>
      <c r="D1596" s="20" t="s">
        <v>1727</v>
      </c>
      <c r="E1596" s="31" t="s">
        <v>17</v>
      </c>
      <c r="F1596" s="63" t="s">
        <v>18</v>
      </c>
      <c r="G1596" s="19" t="s">
        <v>19</v>
      </c>
      <c r="H1596" s="37">
        <v>45323</v>
      </c>
      <c r="I1596" s="19">
        <v>600</v>
      </c>
      <c r="J1596" s="24" t="s">
        <v>20</v>
      </c>
      <c r="K1596" s="19"/>
    </row>
    <row r="1597" ht="31" customHeight="1" spans="1:11">
      <c r="A1597" s="19">
        <v>1593</v>
      </c>
      <c r="B1597" s="19" t="s">
        <v>1253</v>
      </c>
      <c r="C1597" s="19" t="s">
        <v>1725</v>
      </c>
      <c r="D1597" s="20" t="s">
        <v>1728</v>
      </c>
      <c r="E1597" s="31" t="s">
        <v>17</v>
      </c>
      <c r="F1597" s="63" t="s">
        <v>18</v>
      </c>
      <c r="G1597" s="19" t="s">
        <v>19</v>
      </c>
      <c r="H1597" s="37">
        <v>45323</v>
      </c>
      <c r="I1597" s="19">
        <v>600</v>
      </c>
      <c r="J1597" s="24" t="s">
        <v>20</v>
      </c>
      <c r="K1597" s="19"/>
    </row>
    <row r="1598" ht="31" customHeight="1" spans="1:11">
      <c r="A1598" s="19">
        <v>1594</v>
      </c>
      <c r="B1598" s="19" t="s">
        <v>1253</v>
      </c>
      <c r="C1598" s="19" t="s">
        <v>1725</v>
      </c>
      <c r="D1598" s="64" t="s">
        <v>1729</v>
      </c>
      <c r="E1598" s="31" t="s">
        <v>17</v>
      </c>
      <c r="F1598" s="63" t="s">
        <v>18</v>
      </c>
      <c r="G1598" s="19" t="s">
        <v>19</v>
      </c>
      <c r="H1598" s="37">
        <v>45413</v>
      </c>
      <c r="I1598" s="19">
        <v>600</v>
      </c>
      <c r="J1598" s="24" t="s">
        <v>20</v>
      </c>
      <c r="K1598" s="19"/>
    </row>
    <row r="1599" ht="31" customHeight="1" spans="1:11">
      <c r="A1599" s="19">
        <v>1595</v>
      </c>
      <c r="B1599" s="19" t="s">
        <v>1253</v>
      </c>
      <c r="C1599" s="19" t="s">
        <v>1725</v>
      </c>
      <c r="D1599" s="20" t="s">
        <v>1730</v>
      </c>
      <c r="E1599" s="31" t="s">
        <v>17</v>
      </c>
      <c r="F1599" s="63" t="s">
        <v>18</v>
      </c>
      <c r="G1599" s="19" t="s">
        <v>19</v>
      </c>
      <c r="H1599" s="37">
        <v>45292</v>
      </c>
      <c r="I1599" s="19">
        <v>600</v>
      </c>
      <c r="J1599" s="24" t="s">
        <v>20</v>
      </c>
      <c r="K1599" s="19"/>
    </row>
    <row r="1600" ht="31" customHeight="1" spans="1:11">
      <c r="A1600" s="19">
        <v>1596</v>
      </c>
      <c r="B1600" s="19" t="s">
        <v>1253</v>
      </c>
      <c r="C1600" s="20" t="s">
        <v>1725</v>
      </c>
      <c r="D1600" s="20" t="s">
        <v>1731</v>
      </c>
      <c r="E1600" s="31" t="s">
        <v>17</v>
      </c>
      <c r="F1600" s="63" t="s">
        <v>18</v>
      </c>
      <c r="G1600" s="19" t="s">
        <v>19</v>
      </c>
      <c r="H1600" s="37">
        <v>45323</v>
      </c>
      <c r="I1600" s="19">
        <v>600</v>
      </c>
      <c r="J1600" s="24" t="s">
        <v>20</v>
      </c>
      <c r="K1600" s="19"/>
    </row>
    <row r="1601" ht="31" customHeight="1" spans="1:11">
      <c r="A1601" s="19">
        <v>1597</v>
      </c>
      <c r="B1601" s="19" t="s">
        <v>1253</v>
      </c>
      <c r="C1601" s="19" t="s">
        <v>1725</v>
      </c>
      <c r="D1601" s="19" t="s">
        <v>1732</v>
      </c>
      <c r="E1601" s="31" t="s">
        <v>17</v>
      </c>
      <c r="F1601" s="63" t="s">
        <v>18</v>
      </c>
      <c r="G1601" s="19" t="s">
        <v>19</v>
      </c>
      <c r="H1601" s="37">
        <v>45323</v>
      </c>
      <c r="I1601" s="19">
        <v>600</v>
      </c>
      <c r="J1601" s="24" t="s">
        <v>20</v>
      </c>
      <c r="K1601" s="19"/>
    </row>
    <row r="1602" ht="31" customHeight="1" spans="1:11">
      <c r="A1602" s="19">
        <v>1598</v>
      </c>
      <c r="B1602" s="20" t="s">
        <v>1253</v>
      </c>
      <c r="C1602" s="20" t="s">
        <v>1725</v>
      </c>
      <c r="D1602" s="20" t="s">
        <v>1733</v>
      </c>
      <c r="E1602" s="21" t="s">
        <v>17</v>
      </c>
      <c r="F1602" s="62" t="s">
        <v>18</v>
      </c>
      <c r="G1602" s="20" t="s">
        <v>19</v>
      </c>
      <c r="H1602" s="23">
        <v>45323</v>
      </c>
      <c r="I1602" s="19">
        <v>600</v>
      </c>
      <c r="J1602" s="24" t="s">
        <v>20</v>
      </c>
      <c r="K1602" s="19"/>
    </row>
    <row r="1603" ht="31" customHeight="1" spans="1:11">
      <c r="A1603" s="19">
        <v>1599</v>
      </c>
      <c r="B1603" s="19" t="s">
        <v>1253</v>
      </c>
      <c r="C1603" s="19" t="s">
        <v>1725</v>
      </c>
      <c r="D1603" s="19" t="s">
        <v>1734</v>
      </c>
      <c r="E1603" s="31" t="s">
        <v>17</v>
      </c>
      <c r="F1603" s="63" t="s">
        <v>18</v>
      </c>
      <c r="G1603" s="19" t="s">
        <v>32</v>
      </c>
      <c r="H1603" s="37">
        <v>45352</v>
      </c>
      <c r="I1603" s="19">
        <v>800</v>
      </c>
      <c r="J1603" s="24" t="s">
        <v>20</v>
      </c>
      <c r="K1603" s="19"/>
    </row>
    <row r="1604" ht="31" customHeight="1" spans="1:11">
      <c r="A1604" s="19">
        <v>1600</v>
      </c>
      <c r="B1604" s="19" t="s">
        <v>1253</v>
      </c>
      <c r="C1604" s="19" t="s">
        <v>1725</v>
      </c>
      <c r="D1604" s="19" t="s">
        <v>1735</v>
      </c>
      <c r="E1604" s="31" t="s">
        <v>17</v>
      </c>
      <c r="F1604" s="63" t="s">
        <v>18</v>
      </c>
      <c r="G1604" s="19" t="s">
        <v>32</v>
      </c>
      <c r="H1604" s="37">
        <v>45352</v>
      </c>
      <c r="I1604" s="19">
        <v>800</v>
      </c>
      <c r="J1604" s="24" t="s">
        <v>20</v>
      </c>
      <c r="K1604" s="19"/>
    </row>
    <row r="1605" ht="31" customHeight="1" spans="1:11">
      <c r="A1605" s="19">
        <v>1601</v>
      </c>
      <c r="B1605" s="19" t="s">
        <v>1253</v>
      </c>
      <c r="C1605" s="19" t="s">
        <v>1725</v>
      </c>
      <c r="D1605" s="19" t="s">
        <v>1736</v>
      </c>
      <c r="E1605" s="31" t="s">
        <v>17</v>
      </c>
      <c r="F1605" s="63" t="s">
        <v>18</v>
      </c>
      <c r="G1605" s="19" t="s">
        <v>19</v>
      </c>
      <c r="H1605" s="37">
        <v>45323</v>
      </c>
      <c r="I1605" s="19">
        <f>IF(F1605="是",VLOOKUP(G1605,[270]Sheet2!A:C,3,FALSE),VLOOKUP(G1605,[270]Sheet2!A:B,2,FALSE))</f>
        <v>600</v>
      </c>
      <c r="J1605" s="24" t="s">
        <v>20</v>
      </c>
      <c r="K1605" s="19"/>
    </row>
    <row r="1606" ht="31" customHeight="1" spans="1:11">
      <c r="A1606" s="19">
        <v>1602</v>
      </c>
      <c r="B1606" s="19" t="s">
        <v>1253</v>
      </c>
      <c r="C1606" s="19" t="s">
        <v>1725</v>
      </c>
      <c r="D1606" s="19" t="s">
        <v>1737</v>
      </c>
      <c r="E1606" s="31" t="s">
        <v>17</v>
      </c>
      <c r="F1606" s="63" t="s">
        <v>18</v>
      </c>
      <c r="G1606" s="19" t="s">
        <v>19</v>
      </c>
      <c r="H1606" s="37">
        <v>45323</v>
      </c>
      <c r="I1606" s="19">
        <v>600</v>
      </c>
      <c r="J1606" s="24" t="s">
        <v>20</v>
      </c>
      <c r="K1606" s="19"/>
    </row>
    <row r="1607" ht="31" customHeight="1" spans="1:11">
      <c r="A1607" s="19">
        <v>1603</v>
      </c>
      <c r="B1607" s="19" t="s">
        <v>1253</v>
      </c>
      <c r="C1607" s="19" t="s">
        <v>1725</v>
      </c>
      <c r="D1607" s="19" t="s">
        <v>1738</v>
      </c>
      <c r="E1607" s="31" t="s">
        <v>17</v>
      </c>
      <c r="F1607" s="63" t="s">
        <v>18</v>
      </c>
      <c r="G1607" s="19" t="s">
        <v>19</v>
      </c>
      <c r="H1607" s="37">
        <v>45352</v>
      </c>
      <c r="I1607" s="19">
        <v>600</v>
      </c>
      <c r="J1607" s="24" t="s">
        <v>20</v>
      </c>
      <c r="K1607" s="19"/>
    </row>
    <row r="1608" ht="31" customHeight="1" spans="1:11">
      <c r="A1608" s="19">
        <v>1604</v>
      </c>
      <c r="B1608" s="19" t="s">
        <v>1253</v>
      </c>
      <c r="C1608" s="19" t="s">
        <v>1725</v>
      </c>
      <c r="D1608" s="19" t="s">
        <v>1739</v>
      </c>
      <c r="E1608" s="31" t="s">
        <v>17</v>
      </c>
      <c r="F1608" s="63" t="s">
        <v>18</v>
      </c>
      <c r="G1608" s="19" t="s">
        <v>19</v>
      </c>
      <c r="H1608" s="37">
        <v>45474</v>
      </c>
      <c r="I1608" s="19">
        <v>600</v>
      </c>
      <c r="J1608" s="24" t="s">
        <v>20</v>
      </c>
      <c r="K1608" s="19"/>
    </row>
    <row r="1609" ht="31" customHeight="1" spans="1:11">
      <c r="A1609" s="19">
        <v>1605</v>
      </c>
      <c r="B1609" s="19" t="s">
        <v>1253</v>
      </c>
      <c r="C1609" s="20" t="s">
        <v>1725</v>
      </c>
      <c r="D1609" s="20" t="s">
        <v>1740</v>
      </c>
      <c r="E1609" s="31" t="s">
        <v>17</v>
      </c>
      <c r="F1609" s="63" t="s">
        <v>18</v>
      </c>
      <c r="G1609" s="19" t="s">
        <v>19</v>
      </c>
      <c r="H1609" s="37">
        <v>45323</v>
      </c>
      <c r="I1609" s="19">
        <v>600</v>
      </c>
      <c r="J1609" s="24" t="s">
        <v>20</v>
      </c>
      <c r="K1609" s="19"/>
    </row>
    <row r="1610" ht="31" customHeight="1" spans="1:11">
      <c r="A1610" s="19">
        <v>1606</v>
      </c>
      <c r="B1610" s="19" t="s">
        <v>1253</v>
      </c>
      <c r="C1610" s="19" t="s">
        <v>1725</v>
      </c>
      <c r="D1610" s="19" t="s">
        <v>1741</v>
      </c>
      <c r="E1610" s="31" t="s">
        <v>17</v>
      </c>
      <c r="F1610" s="63" t="s">
        <v>18</v>
      </c>
      <c r="G1610" s="19" t="s">
        <v>19</v>
      </c>
      <c r="H1610" s="37">
        <v>45292</v>
      </c>
      <c r="I1610" s="19">
        <v>600</v>
      </c>
      <c r="J1610" s="24" t="s">
        <v>20</v>
      </c>
      <c r="K1610" s="19"/>
    </row>
    <row r="1611" ht="31" customHeight="1" spans="1:11">
      <c r="A1611" s="19">
        <v>1607</v>
      </c>
      <c r="B1611" s="19" t="s">
        <v>1253</v>
      </c>
      <c r="C1611" s="19" t="s">
        <v>1725</v>
      </c>
      <c r="D1611" s="19" t="s">
        <v>1742</v>
      </c>
      <c r="E1611" s="31" t="s">
        <v>17</v>
      </c>
      <c r="F1611" s="63" t="s">
        <v>18</v>
      </c>
      <c r="G1611" s="19" t="s">
        <v>19</v>
      </c>
      <c r="H1611" s="37">
        <v>45323</v>
      </c>
      <c r="I1611" s="19">
        <v>600</v>
      </c>
      <c r="J1611" s="24" t="s">
        <v>20</v>
      </c>
      <c r="K1611" s="19"/>
    </row>
    <row r="1612" ht="31" customHeight="1" spans="1:11">
      <c r="A1612" s="19">
        <v>1608</v>
      </c>
      <c r="B1612" s="19" t="s">
        <v>1253</v>
      </c>
      <c r="C1612" s="19" t="s">
        <v>1725</v>
      </c>
      <c r="D1612" s="19" t="s">
        <v>1743</v>
      </c>
      <c r="E1612" s="31" t="s">
        <v>17</v>
      </c>
      <c r="F1612" s="63" t="s">
        <v>18</v>
      </c>
      <c r="G1612" s="19" t="s">
        <v>19</v>
      </c>
      <c r="H1612" s="37">
        <v>45323</v>
      </c>
      <c r="I1612" s="19">
        <v>600</v>
      </c>
      <c r="J1612" s="24" t="s">
        <v>20</v>
      </c>
      <c r="K1612" s="19"/>
    </row>
    <row r="1613" ht="31" customHeight="1" spans="1:11">
      <c r="A1613" s="19">
        <v>1609</v>
      </c>
      <c r="B1613" s="19" t="s">
        <v>1253</v>
      </c>
      <c r="C1613" s="19" t="s">
        <v>1725</v>
      </c>
      <c r="D1613" s="19" t="s">
        <v>1744</v>
      </c>
      <c r="E1613" s="31" t="s">
        <v>17</v>
      </c>
      <c r="F1613" s="63" t="s">
        <v>18</v>
      </c>
      <c r="G1613" s="19" t="s">
        <v>19</v>
      </c>
      <c r="H1613" s="37">
        <v>45323</v>
      </c>
      <c r="I1613" s="19">
        <v>600</v>
      </c>
      <c r="J1613" s="24" t="s">
        <v>20</v>
      </c>
      <c r="K1613" s="19"/>
    </row>
    <row r="1614" ht="31" customHeight="1" spans="1:11">
      <c r="A1614" s="19">
        <v>1610</v>
      </c>
      <c r="B1614" s="19" t="s">
        <v>1253</v>
      </c>
      <c r="C1614" s="19" t="s">
        <v>1725</v>
      </c>
      <c r="D1614" s="19" t="s">
        <v>1745</v>
      </c>
      <c r="E1614" s="31" t="s">
        <v>17</v>
      </c>
      <c r="F1614" s="63" t="s">
        <v>18</v>
      </c>
      <c r="G1614" s="19" t="s">
        <v>19</v>
      </c>
      <c r="H1614" s="37">
        <v>45323</v>
      </c>
      <c r="I1614" s="19">
        <v>600</v>
      </c>
      <c r="J1614" s="24" t="s">
        <v>20</v>
      </c>
      <c r="K1614" s="19"/>
    </row>
    <row r="1615" ht="31" customHeight="1" spans="1:11">
      <c r="A1615" s="19">
        <v>1611</v>
      </c>
      <c r="B1615" s="20" t="s">
        <v>1253</v>
      </c>
      <c r="C1615" s="20" t="s">
        <v>1725</v>
      </c>
      <c r="D1615" s="20" t="s">
        <v>1746</v>
      </c>
      <c r="E1615" s="21" t="s">
        <v>17</v>
      </c>
      <c r="F1615" s="62" t="s">
        <v>18</v>
      </c>
      <c r="G1615" s="20" t="s">
        <v>19</v>
      </c>
      <c r="H1615" s="23">
        <v>45323</v>
      </c>
      <c r="I1615" s="19">
        <v>600</v>
      </c>
      <c r="J1615" s="24" t="s">
        <v>20</v>
      </c>
      <c r="K1615" s="19"/>
    </row>
    <row r="1616" ht="31" customHeight="1" spans="1:11">
      <c r="A1616" s="19">
        <v>1612</v>
      </c>
      <c r="B1616" s="19" t="s">
        <v>1253</v>
      </c>
      <c r="C1616" s="19" t="s">
        <v>1725</v>
      </c>
      <c r="D1616" s="19" t="s">
        <v>1747</v>
      </c>
      <c r="E1616" s="31" t="s">
        <v>17</v>
      </c>
      <c r="F1616" s="63" t="s">
        <v>18</v>
      </c>
      <c r="G1616" s="19" t="s">
        <v>19</v>
      </c>
      <c r="H1616" s="37">
        <v>45323</v>
      </c>
      <c r="I1616" s="19">
        <v>600</v>
      </c>
      <c r="J1616" s="24" t="s">
        <v>20</v>
      </c>
      <c r="K1616" s="19"/>
    </row>
    <row r="1617" ht="31" customHeight="1" spans="1:11">
      <c r="A1617" s="19">
        <v>1613</v>
      </c>
      <c r="B1617" s="19" t="s">
        <v>1253</v>
      </c>
      <c r="C1617" s="19" t="s">
        <v>1725</v>
      </c>
      <c r="D1617" s="19" t="s">
        <v>1748</v>
      </c>
      <c r="E1617" s="31" t="s">
        <v>17</v>
      </c>
      <c r="F1617" s="63" t="s">
        <v>18</v>
      </c>
      <c r="G1617" s="19" t="s">
        <v>19</v>
      </c>
      <c r="H1617" s="37">
        <v>45292</v>
      </c>
      <c r="I1617" s="19">
        <v>600</v>
      </c>
      <c r="J1617" s="24" t="s">
        <v>20</v>
      </c>
      <c r="K1617" s="19"/>
    </row>
    <row r="1618" ht="31" customHeight="1" spans="1:11">
      <c r="A1618" s="19">
        <v>1614</v>
      </c>
      <c r="B1618" s="19" t="s">
        <v>1253</v>
      </c>
      <c r="C1618" s="19" t="s">
        <v>1725</v>
      </c>
      <c r="D1618" s="19" t="s">
        <v>1749</v>
      </c>
      <c r="E1618" s="31" t="s">
        <v>17</v>
      </c>
      <c r="F1618" s="19" t="s">
        <v>18</v>
      </c>
      <c r="G1618" s="19" t="s">
        <v>98</v>
      </c>
      <c r="H1618" s="37">
        <v>45352</v>
      </c>
      <c r="I1618" s="19">
        <v>800</v>
      </c>
      <c r="J1618" s="24" t="s">
        <v>20</v>
      </c>
      <c r="K1618" s="19"/>
    </row>
    <row r="1619" ht="31" customHeight="1" spans="1:11">
      <c r="A1619" s="19">
        <v>1615</v>
      </c>
      <c r="B1619" s="32" t="s">
        <v>1750</v>
      </c>
      <c r="C1619" s="32" t="s">
        <v>1751</v>
      </c>
      <c r="D1619" s="32" t="s">
        <v>1752</v>
      </c>
      <c r="E1619" s="32" t="s">
        <v>17</v>
      </c>
      <c r="F1619" s="32" t="s">
        <v>18</v>
      </c>
      <c r="G1619" s="32" t="s">
        <v>19</v>
      </c>
      <c r="H1619" s="65">
        <v>45352</v>
      </c>
      <c r="I1619" s="19">
        <v>600</v>
      </c>
      <c r="J1619" s="24" t="s">
        <v>20</v>
      </c>
      <c r="K1619" s="19"/>
    </row>
    <row r="1620" ht="31" customHeight="1" spans="1:11">
      <c r="A1620" s="19">
        <v>1616</v>
      </c>
      <c r="B1620" s="32" t="s">
        <v>1750</v>
      </c>
      <c r="C1620" s="32" t="s">
        <v>1751</v>
      </c>
      <c r="D1620" s="32" t="s">
        <v>1753</v>
      </c>
      <c r="E1620" s="32" t="s">
        <v>17</v>
      </c>
      <c r="F1620" s="32" t="s">
        <v>18</v>
      </c>
      <c r="G1620" s="32" t="s">
        <v>19</v>
      </c>
      <c r="H1620" s="65">
        <v>45352</v>
      </c>
      <c r="I1620" s="19">
        <f>IF(F1620="是",VLOOKUP(G1620,[278]Sheet2!A:C,3,FALSE),VLOOKUP(G1620,[278]Sheet2!A:B,2,FALSE))</f>
        <v>600</v>
      </c>
      <c r="J1620" s="24" t="s">
        <v>20</v>
      </c>
      <c r="K1620" s="19"/>
    </row>
    <row r="1621" ht="31" customHeight="1" spans="1:11">
      <c r="A1621" s="19">
        <v>1617</v>
      </c>
      <c r="B1621" s="32" t="s">
        <v>1750</v>
      </c>
      <c r="C1621" s="32" t="s">
        <v>1751</v>
      </c>
      <c r="D1621" s="32" t="s">
        <v>1754</v>
      </c>
      <c r="E1621" s="32" t="s">
        <v>17</v>
      </c>
      <c r="F1621" s="32" t="s">
        <v>18</v>
      </c>
      <c r="G1621" s="32" t="s">
        <v>19</v>
      </c>
      <c r="H1621" s="66">
        <v>45326</v>
      </c>
      <c r="I1621" s="19">
        <v>600</v>
      </c>
      <c r="J1621" s="24" t="s">
        <v>20</v>
      </c>
      <c r="K1621" s="19"/>
    </row>
    <row r="1622" ht="31" customHeight="1" spans="1:11">
      <c r="A1622" s="19">
        <v>1618</v>
      </c>
      <c r="B1622" s="32" t="s">
        <v>1750</v>
      </c>
      <c r="C1622" s="32" t="s">
        <v>1751</v>
      </c>
      <c r="D1622" s="32" t="s">
        <v>1755</v>
      </c>
      <c r="E1622" s="32" t="s">
        <v>17</v>
      </c>
      <c r="F1622" s="32" t="s">
        <v>18</v>
      </c>
      <c r="G1622" s="32" t="s">
        <v>19</v>
      </c>
      <c r="H1622" s="66">
        <v>45326</v>
      </c>
      <c r="I1622" s="19">
        <f>IF(F1622="是",VLOOKUP(G1622,[278]Sheet2!A:C,3,FALSE),VLOOKUP(G1622,[278]Sheet2!A:B,2,FALSE))</f>
        <v>600</v>
      </c>
      <c r="J1622" s="24" t="s">
        <v>20</v>
      </c>
      <c r="K1622" s="19"/>
    </row>
    <row r="1623" ht="31" customHeight="1" spans="1:11">
      <c r="A1623" s="19">
        <v>1619</v>
      </c>
      <c r="B1623" s="32" t="s">
        <v>1750</v>
      </c>
      <c r="C1623" s="32" t="s">
        <v>1751</v>
      </c>
      <c r="D1623" s="32" t="s">
        <v>1756</v>
      </c>
      <c r="E1623" s="32" t="s">
        <v>17</v>
      </c>
      <c r="F1623" s="32" t="s">
        <v>18</v>
      </c>
      <c r="G1623" s="32" t="s">
        <v>38</v>
      </c>
      <c r="H1623" s="65">
        <v>45292</v>
      </c>
      <c r="I1623" s="19">
        <v>600</v>
      </c>
      <c r="J1623" s="24" t="s">
        <v>20</v>
      </c>
      <c r="K1623" s="19"/>
    </row>
    <row r="1624" ht="31" customHeight="1" spans="1:11">
      <c r="A1624" s="19">
        <v>1620</v>
      </c>
      <c r="B1624" s="32" t="s">
        <v>1750</v>
      </c>
      <c r="C1624" s="32" t="s">
        <v>1751</v>
      </c>
      <c r="D1624" s="32" t="s">
        <v>1757</v>
      </c>
      <c r="E1624" s="32" t="s">
        <v>17</v>
      </c>
      <c r="F1624" s="32" t="s">
        <v>18</v>
      </c>
      <c r="G1624" s="32" t="s">
        <v>19</v>
      </c>
      <c r="H1624" s="65">
        <v>45474</v>
      </c>
      <c r="I1624" s="19">
        <f>IF(F1624="是",VLOOKUP(G1624,[278]Sheet2!A:C,3,FALSE),VLOOKUP(G1624,[278]Sheet2!A:B,2,FALSE))</f>
        <v>600</v>
      </c>
      <c r="J1624" s="24" t="s">
        <v>20</v>
      </c>
      <c r="K1624" s="19"/>
    </row>
    <row r="1625" ht="31" customHeight="1" spans="1:11">
      <c r="A1625" s="19">
        <v>1621</v>
      </c>
      <c r="B1625" s="19" t="s">
        <v>1750</v>
      </c>
      <c r="C1625" s="19" t="s">
        <v>1751</v>
      </c>
      <c r="D1625" s="19" t="s">
        <v>1758</v>
      </c>
      <c r="E1625" s="32" t="s">
        <v>17</v>
      </c>
      <c r="F1625" s="19" t="s">
        <v>18</v>
      </c>
      <c r="G1625" s="19" t="s">
        <v>19</v>
      </c>
      <c r="H1625" s="66">
        <v>45326</v>
      </c>
      <c r="I1625" s="19">
        <v>600</v>
      </c>
      <c r="J1625" s="24" t="s">
        <v>20</v>
      </c>
      <c r="K1625" s="19"/>
    </row>
    <row r="1626" ht="31" customHeight="1" spans="1:11">
      <c r="A1626" s="19">
        <v>1622</v>
      </c>
      <c r="B1626" s="19" t="s">
        <v>1750</v>
      </c>
      <c r="C1626" s="19" t="s">
        <v>1751</v>
      </c>
      <c r="D1626" s="19" t="s">
        <v>1759</v>
      </c>
      <c r="E1626" s="32" t="s">
        <v>17</v>
      </c>
      <c r="F1626" s="19" t="s">
        <v>18</v>
      </c>
      <c r="G1626" s="19" t="s">
        <v>19</v>
      </c>
      <c r="H1626" s="65">
        <v>45292</v>
      </c>
      <c r="I1626" s="19">
        <f>IF(F1626="是",VLOOKUP(G1626,[278]Sheet2!A:C,3,FALSE),VLOOKUP(G1626,[278]Sheet2!A:B,2,FALSE))</f>
        <v>600</v>
      </c>
      <c r="J1626" s="24" t="s">
        <v>20</v>
      </c>
      <c r="K1626" s="19"/>
    </row>
    <row r="1627" ht="31" customHeight="1" spans="1:11">
      <c r="A1627" s="19">
        <v>1623</v>
      </c>
      <c r="B1627" s="32" t="s">
        <v>1750</v>
      </c>
      <c r="C1627" s="32" t="s">
        <v>1760</v>
      </c>
      <c r="D1627" s="32" t="s">
        <v>1761</v>
      </c>
      <c r="E1627" s="32" t="s">
        <v>17</v>
      </c>
      <c r="F1627" s="32" t="s">
        <v>18</v>
      </c>
      <c r="G1627" s="32" t="s">
        <v>29</v>
      </c>
      <c r="H1627" s="65">
        <v>45323</v>
      </c>
      <c r="I1627" s="19">
        <v>800</v>
      </c>
      <c r="J1627" s="24" t="s">
        <v>20</v>
      </c>
      <c r="K1627" s="19"/>
    </row>
    <row r="1628" ht="31" customHeight="1" spans="1:11">
      <c r="A1628" s="19">
        <v>1624</v>
      </c>
      <c r="B1628" s="32" t="s">
        <v>1750</v>
      </c>
      <c r="C1628" s="32" t="s">
        <v>1760</v>
      </c>
      <c r="D1628" s="32" t="s">
        <v>1762</v>
      </c>
      <c r="E1628" s="32" t="s">
        <v>17</v>
      </c>
      <c r="F1628" s="32" t="s">
        <v>18</v>
      </c>
      <c r="G1628" s="32" t="s">
        <v>32</v>
      </c>
      <c r="H1628" s="65">
        <v>45323</v>
      </c>
      <c r="I1628" s="19">
        <f>IF(F1628="是",VLOOKUP(G1628,[279]Sheet2!A:C,3,FALSE),VLOOKUP(G1628,[279]Sheet2!A:B,2,FALSE))</f>
        <v>800</v>
      </c>
      <c r="J1628" s="24" t="s">
        <v>20</v>
      </c>
      <c r="K1628" s="19"/>
    </row>
    <row r="1629" ht="31" customHeight="1" spans="1:11">
      <c r="A1629" s="19">
        <v>1625</v>
      </c>
      <c r="B1629" s="32" t="s">
        <v>1750</v>
      </c>
      <c r="C1629" s="32" t="s">
        <v>1760</v>
      </c>
      <c r="D1629" s="32" t="s">
        <v>1763</v>
      </c>
      <c r="E1629" s="32" t="s">
        <v>17</v>
      </c>
      <c r="F1629" s="32" t="s">
        <v>18</v>
      </c>
      <c r="G1629" s="32" t="s">
        <v>29</v>
      </c>
      <c r="H1629" s="65">
        <v>45323</v>
      </c>
      <c r="I1629" s="19">
        <f>IF(F1629="是",VLOOKUP(G1629,[279]Sheet2!A:C,3,FALSE),VLOOKUP(G1629,[279]Sheet2!A:B,2,FALSE))</f>
        <v>800</v>
      </c>
      <c r="J1629" s="24" t="s">
        <v>20</v>
      </c>
      <c r="K1629" s="19"/>
    </row>
    <row r="1630" ht="31" customHeight="1" spans="1:11">
      <c r="A1630" s="19">
        <v>1626</v>
      </c>
      <c r="B1630" s="32" t="s">
        <v>1750</v>
      </c>
      <c r="C1630" s="32" t="s">
        <v>1764</v>
      </c>
      <c r="D1630" s="32" t="s">
        <v>1765</v>
      </c>
      <c r="E1630" s="32" t="s">
        <v>17</v>
      </c>
      <c r="F1630" s="32" t="s">
        <v>18</v>
      </c>
      <c r="G1630" s="32" t="s">
        <v>19</v>
      </c>
      <c r="H1630" s="65">
        <v>45352</v>
      </c>
      <c r="I1630" s="19">
        <f>IF(F1630="是",VLOOKUP(G1630,[280]Sheet2!A:C,3,FALSE),VLOOKUP(G1630,[280]Sheet2!A:B,2,FALSE))</f>
        <v>600</v>
      </c>
      <c r="J1630" s="24" t="s">
        <v>20</v>
      </c>
      <c r="K1630" s="19"/>
    </row>
    <row r="1631" ht="31" customHeight="1" spans="1:11">
      <c r="A1631" s="19">
        <v>1627</v>
      </c>
      <c r="B1631" s="32" t="s">
        <v>1750</v>
      </c>
      <c r="C1631" s="32" t="s">
        <v>1764</v>
      </c>
      <c r="D1631" s="32" t="s">
        <v>956</v>
      </c>
      <c r="E1631" s="32" t="s">
        <v>17</v>
      </c>
      <c r="F1631" s="32" t="s">
        <v>18</v>
      </c>
      <c r="G1631" s="32" t="s">
        <v>19</v>
      </c>
      <c r="H1631" s="65">
        <v>45352</v>
      </c>
      <c r="I1631" s="19">
        <f>IF(F1631="是",VLOOKUP(G1631,[281]Sheet2!A:C,3,FALSE),VLOOKUP(G1631,[281]Sheet2!A:B,2,FALSE))</f>
        <v>600</v>
      </c>
      <c r="J1631" s="24" t="s">
        <v>20</v>
      </c>
      <c r="K1631" s="19"/>
    </row>
    <row r="1632" ht="31" customHeight="1" spans="1:11">
      <c r="A1632" s="19">
        <v>1628</v>
      </c>
      <c r="B1632" s="32" t="s">
        <v>1750</v>
      </c>
      <c r="C1632" s="32" t="s">
        <v>1764</v>
      </c>
      <c r="D1632" s="32" t="s">
        <v>1766</v>
      </c>
      <c r="E1632" s="32" t="s">
        <v>17</v>
      </c>
      <c r="F1632" s="32" t="s">
        <v>18</v>
      </c>
      <c r="G1632" s="32" t="s">
        <v>118</v>
      </c>
      <c r="H1632" s="65">
        <v>45292</v>
      </c>
      <c r="I1632" s="19">
        <v>800</v>
      </c>
      <c r="J1632" s="24" t="s">
        <v>20</v>
      </c>
      <c r="K1632" s="19"/>
    </row>
    <row r="1633" ht="31" customHeight="1" spans="1:11">
      <c r="A1633" s="19">
        <v>1629</v>
      </c>
      <c r="B1633" s="32" t="s">
        <v>1750</v>
      </c>
      <c r="C1633" s="32" t="s">
        <v>1764</v>
      </c>
      <c r="D1633" s="32" t="s">
        <v>1767</v>
      </c>
      <c r="E1633" s="32" t="s">
        <v>17</v>
      </c>
      <c r="F1633" s="32" t="s">
        <v>18</v>
      </c>
      <c r="G1633" s="32" t="s">
        <v>118</v>
      </c>
      <c r="H1633" s="65">
        <v>45292</v>
      </c>
      <c r="I1633" s="19">
        <v>800</v>
      </c>
      <c r="J1633" s="24" t="s">
        <v>20</v>
      </c>
      <c r="K1633" s="19"/>
    </row>
    <row r="1634" ht="31" customHeight="1" spans="1:11">
      <c r="A1634" s="19">
        <v>1630</v>
      </c>
      <c r="B1634" s="32" t="s">
        <v>1750</v>
      </c>
      <c r="C1634" s="32" t="s">
        <v>1764</v>
      </c>
      <c r="D1634" s="32" t="s">
        <v>1768</v>
      </c>
      <c r="E1634" s="32" t="s">
        <v>17</v>
      </c>
      <c r="F1634" s="32" t="s">
        <v>18</v>
      </c>
      <c r="G1634" s="32" t="s">
        <v>19</v>
      </c>
      <c r="H1634" s="65">
        <v>45292</v>
      </c>
      <c r="I1634" s="19">
        <f>IF(F1634="是",VLOOKUP(G1634,[282]Sheet2!A:C,3,FALSE),VLOOKUP(G1634,[282]Sheet2!A:B,2,FALSE))</f>
        <v>600</v>
      </c>
      <c r="J1634" s="24" t="s">
        <v>20</v>
      </c>
      <c r="K1634" s="19"/>
    </row>
    <row r="1635" ht="31" customHeight="1" spans="1:11">
      <c r="A1635" s="19">
        <v>1631</v>
      </c>
      <c r="B1635" s="32" t="s">
        <v>1750</v>
      </c>
      <c r="C1635" s="32" t="s">
        <v>1764</v>
      </c>
      <c r="D1635" s="32" t="s">
        <v>1769</v>
      </c>
      <c r="E1635" s="32" t="s">
        <v>17</v>
      </c>
      <c r="F1635" s="32" t="s">
        <v>18</v>
      </c>
      <c r="G1635" s="32" t="s">
        <v>19</v>
      </c>
      <c r="H1635" s="65">
        <v>45293</v>
      </c>
      <c r="I1635" s="19">
        <f>IF(F1635="是",VLOOKUP(G1635,[282]Sheet2!A:C,3,FALSE),VLOOKUP(G1635,[282]Sheet2!A:B,2,FALSE))</f>
        <v>600</v>
      </c>
      <c r="J1635" s="24" t="s">
        <v>20</v>
      </c>
      <c r="K1635" s="19"/>
    </row>
    <row r="1636" ht="31" customHeight="1" spans="1:11">
      <c r="A1636" s="19">
        <v>1632</v>
      </c>
      <c r="B1636" s="32" t="s">
        <v>1750</v>
      </c>
      <c r="C1636" s="32" t="s">
        <v>1764</v>
      </c>
      <c r="D1636" s="32" t="s">
        <v>1770</v>
      </c>
      <c r="E1636" s="32" t="s">
        <v>17</v>
      </c>
      <c r="F1636" s="32" t="s">
        <v>18</v>
      </c>
      <c r="G1636" s="32" t="s">
        <v>19</v>
      </c>
      <c r="H1636" s="65">
        <v>45294</v>
      </c>
      <c r="I1636" s="19">
        <f>IF(F1636="是",VLOOKUP(G1636,[282]Sheet2!A:C,3,FALSE),VLOOKUP(G1636,[282]Sheet2!A:B,2,FALSE))</f>
        <v>600</v>
      </c>
      <c r="J1636" s="24" t="s">
        <v>20</v>
      </c>
      <c r="K1636" s="19"/>
    </row>
    <row r="1637" ht="31" customHeight="1" spans="1:11">
      <c r="A1637" s="19">
        <v>1633</v>
      </c>
      <c r="B1637" s="32" t="s">
        <v>1750</v>
      </c>
      <c r="C1637" s="32" t="s">
        <v>1764</v>
      </c>
      <c r="D1637" s="32" t="s">
        <v>1771</v>
      </c>
      <c r="E1637" s="32" t="s">
        <v>17</v>
      </c>
      <c r="F1637" s="32" t="s">
        <v>18</v>
      </c>
      <c r="G1637" s="32" t="s">
        <v>19</v>
      </c>
      <c r="H1637" s="65">
        <v>45295</v>
      </c>
      <c r="I1637" s="19">
        <f>IF(F1637="是",VLOOKUP(G1637,[282]Sheet2!A:C,3,FALSE),VLOOKUP(G1637,[282]Sheet2!A:B,2,FALSE))</f>
        <v>600</v>
      </c>
      <c r="J1637" s="24" t="s">
        <v>20</v>
      </c>
      <c r="K1637" s="19"/>
    </row>
    <row r="1638" ht="31" customHeight="1" spans="1:11">
      <c r="A1638" s="19">
        <v>1634</v>
      </c>
      <c r="B1638" s="32" t="s">
        <v>1750</v>
      </c>
      <c r="C1638" s="32" t="s">
        <v>1764</v>
      </c>
      <c r="D1638" s="32" t="s">
        <v>1772</v>
      </c>
      <c r="E1638" s="32" t="s">
        <v>17</v>
      </c>
      <c r="F1638" s="32" t="s">
        <v>18</v>
      </c>
      <c r="G1638" s="32" t="s">
        <v>19</v>
      </c>
      <c r="H1638" s="65">
        <v>45474</v>
      </c>
      <c r="I1638" s="19">
        <v>600</v>
      </c>
      <c r="J1638" s="24" t="s">
        <v>20</v>
      </c>
      <c r="K1638" s="19"/>
    </row>
    <row r="1639" ht="31" customHeight="1" spans="1:11">
      <c r="A1639" s="19">
        <v>1635</v>
      </c>
      <c r="B1639" s="19" t="s">
        <v>1750</v>
      </c>
      <c r="C1639" s="19" t="s">
        <v>1764</v>
      </c>
      <c r="D1639" s="19" t="s">
        <v>1773</v>
      </c>
      <c r="E1639" s="21" t="s">
        <v>17</v>
      </c>
      <c r="F1639" s="19" t="s">
        <v>18</v>
      </c>
      <c r="G1639" s="32" t="s">
        <v>19</v>
      </c>
      <c r="H1639" s="44">
        <v>45383</v>
      </c>
      <c r="I1639" s="19">
        <v>600</v>
      </c>
      <c r="J1639" s="24" t="s">
        <v>20</v>
      </c>
      <c r="K1639" s="19"/>
    </row>
    <row r="1640" ht="31" customHeight="1" spans="1:11">
      <c r="A1640" s="19">
        <v>1636</v>
      </c>
      <c r="B1640" s="32" t="s">
        <v>1750</v>
      </c>
      <c r="C1640" s="32" t="s">
        <v>1774</v>
      </c>
      <c r="D1640" s="32" t="s">
        <v>1775</v>
      </c>
      <c r="E1640" s="32" t="s">
        <v>17</v>
      </c>
      <c r="F1640" s="32" t="s">
        <v>18</v>
      </c>
      <c r="G1640" s="67" t="s">
        <v>29</v>
      </c>
      <c r="H1640" s="68" t="s">
        <v>491</v>
      </c>
      <c r="I1640" s="19">
        <v>800</v>
      </c>
      <c r="J1640" s="24" t="s">
        <v>20</v>
      </c>
      <c r="K1640" s="19"/>
    </row>
    <row r="1641" ht="31" customHeight="1" spans="1:11">
      <c r="A1641" s="19">
        <v>1637</v>
      </c>
      <c r="B1641" s="32" t="s">
        <v>1750</v>
      </c>
      <c r="C1641" s="32" t="s">
        <v>1774</v>
      </c>
      <c r="D1641" s="32" t="s">
        <v>1776</v>
      </c>
      <c r="E1641" s="32" t="s">
        <v>17</v>
      </c>
      <c r="F1641" s="32" t="s">
        <v>18</v>
      </c>
      <c r="G1641" s="32" t="s">
        <v>118</v>
      </c>
      <c r="H1641" s="68" t="s">
        <v>446</v>
      </c>
      <c r="I1641" s="19">
        <v>800</v>
      </c>
      <c r="J1641" s="24" t="s">
        <v>20</v>
      </c>
      <c r="K1641" s="19"/>
    </row>
    <row r="1642" ht="31" customHeight="1" spans="1:11">
      <c r="A1642" s="19">
        <v>1638</v>
      </c>
      <c r="B1642" s="32" t="s">
        <v>1750</v>
      </c>
      <c r="C1642" s="32" t="s">
        <v>1777</v>
      </c>
      <c r="D1642" s="32" t="s">
        <v>1778</v>
      </c>
      <c r="E1642" s="32" t="s">
        <v>17</v>
      </c>
      <c r="F1642" s="32" t="s">
        <v>18</v>
      </c>
      <c r="G1642" s="32" t="s">
        <v>19</v>
      </c>
      <c r="H1642" s="65">
        <v>45294</v>
      </c>
      <c r="I1642" s="19">
        <v>600</v>
      </c>
      <c r="J1642" s="24" t="s">
        <v>20</v>
      </c>
      <c r="K1642" s="19"/>
    </row>
    <row r="1643" ht="31" customHeight="1" spans="1:11">
      <c r="A1643" s="19">
        <v>1639</v>
      </c>
      <c r="B1643" s="32" t="s">
        <v>1750</v>
      </c>
      <c r="C1643" s="32" t="s">
        <v>1777</v>
      </c>
      <c r="D1643" s="32" t="s">
        <v>1779</v>
      </c>
      <c r="E1643" s="32" t="s">
        <v>17</v>
      </c>
      <c r="F1643" s="32" t="s">
        <v>18</v>
      </c>
      <c r="G1643" s="32" t="s">
        <v>32</v>
      </c>
      <c r="H1643" s="65">
        <v>45293</v>
      </c>
      <c r="I1643" s="19">
        <v>800</v>
      </c>
      <c r="J1643" s="24" t="s">
        <v>20</v>
      </c>
      <c r="K1643" s="19"/>
    </row>
    <row r="1644" ht="31" customHeight="1" spans="1:11">
      <c r="A1644" s="19">
        <v>1640</v>
      </c>
      <c r="B1644" s="32" t="s">
        <v>1750</v>
      </c>
      <c r="C1644" s="32" t="s">
        <v>1777</v>
      </c>
      <c r="D1644" s="32" t="s">
        <v>1780</v>
      </c>
      <c r="E1644" s="32" t="s">
        <v>17</v>
      </c>
      <c r="F1644" s="32" t="s">
        <v>18</v>
      </c>
      <c r="G1644" s="32" t="s">
        <v>32</v>
      </c>
      <c r="H1644" s="65">
        <v>45323</v>
      </c>
      <c r="I1644" s="19">
        <v>800</v>
      </c>
      <c r="J1644" s="24" t="s">
        <v>20</v>
      </c>
      <c r="K1644" s="19"/>
    </row>
    <row r="1645" ht="31" customHeight="1" spans="1:11">
      <c r="A1645" s="19">
        <v>1641</v>
      </c>
      <c r="B1645" s="32" t="s">
        <v>1750</v>
      </c>
      <c r="C1645" s="32" t="s">
        <v>1777</v>
      </c>
      <c r="D1645" s="32" t="s">
        <v>1781</v>
      </c>
      <c r="E1645" s="32" t="s">
        <v>17</v>
      </c>
      <c r="F1645" s="32" t="s">
        <v>18</v>
      </c>
      <c r="G1645" s="32" t="s">
        <v>19</v>
      </c>
      <c r="H1645" s="65">
        <v>45323</v>
      </c>
      <c r="I1645" s="19">
        <v>600</v>
      </c>
      <c r="J1645" s="24" t="s">
        <v>20</v>
      </c>
      <c r="K1645" s="19"/>
    </row>
    <row r="1646" ht="31" customHeight="1" spans="1:11">
      <c r="A1646" s="19">
        <v>1642</v>
      </c>
      <c r="B1646" s="32" t="s">
        <v>1750</v>
      </c>
      <c r="C1646" s="32" t="s">
        <v>1782</v>
      </c>
      <c r="D1646" s="32" t="s">
        <v>1783</v>
      </c>
      <c r="E1646" s="32" t="s">
        <v>17</v>
      </c>
      <c r="F1646" s="32" t="s">
        <v>18</v>
      </c>
      <c r="G1646" s="32" t="s">
        <v>19</v>
      </c>
      <c r="H1646" s="65">
        <v>45323</v>
      </c>
      <c r="I1646" s="19">
        <f>IF(F1646="是",VLOOKUP(G1646,[283]Sheet2!A:C,3,FALSE),VLOOKUP(G1646,[283]Sheet2!A:B,2,FALSE))</f>
        <v>600</v>
      </c>
      <c r="J1646" s="24" t="s">
        <v>20</v>
      </c>
      <c r="K1646" s="19"/>
    </row>
    <row r="1647" ht="31" customHeight="1" spans="1:11">
      <c r="A1647" s="19">
        <v>1643</v>
      </c>
      <c r="B1647" s="32" t="s">
        <v>1750</v>
      </c>
      <c r="C1647" s="32" t="s">
        <v>1782</v>
      </c>
      <c r="D1647" s="32" t="s">
        <v>1784</v>
      </c>
      <c r="E1647" s="32" t="s">
        <v>17</v>
      </c>
      <c r="F1647" s="32" t="s">
        <v>18</v>
      </c>
      <c r="G1647" s="32" t="s">
        <v>19</v>
      </c>
      <c r="H1647" s="66">
        <v>45326</v>
      </c>
      <c r="I1647" s="19">
        <v>600</v>
      </c>
      <c r="J1647" s="24" t="s">
        <v>20</v>
      </c>
      <c r="K1647" s="19"/>
    </row>
    <row r="1648" ht="31" customHeight="1" spans="1:11">
      <c r="A1648" s="19">
        <v>1644</v>
      </c>
      <c r="B1648" s="32" t="s">
        <v>1750</v>
      </c>
      <c r="C1648" s="32" t="s">
        <v>1782</v>
      </c>
      <c r="D1648" s="32" t="s">
        <v>1785</v>
      </c>
      <c r="E1648" s="32" t="s">
        <v>17</v>
      </c>
      <c r="F1648" s="32" t="s">
        <v>18</v>
      </c>
      <c r="G1648" s="32" t="s">
        <v>19</v>
      </c>
      <c r="H1648" s="68" t="s">
        <v>915</v>
      </c>
      <c r="I1648" s="19">
        <f>IF(F1648="是",VLOOKUP(G1648,[4]Sheet2!A:C,3,FALSE),VLOOKUP(G1648,[4]Sheet2!A:B,2,FALSE))</f>
        <v>600</v>
      </c>
      <c r="J1648" s="24" t="s">
        <v>20</v>
      </c>
      <c r="K1648" s="19"/>
    </row>
    <row r="1649" ht="31" customHeight="1" spans="1:11">
      <c r="A1649" s="19">
        <v>1645</v>
      </c>
      <c r="B1649" s="32" t="s">
        <v>1750</v>
      </c>
      <c r="C1649" s="32" t="s">
        <v>1782</v>
      </c>
      <c r="D1649" s="32" t="s">
        <v>1786</v>
      </c>
      <c r="E1649" s="32" t="s">
        <v>17</v>
      </c>
      <c r="F1649" s="32" t="s">
        <v>18</v>
      </c>
      <c r="G1649" s="32" t="s">
        <v>98</v>
      </c>
      <c r="H1649" s="65">
        <v>45352</v>
      </c>
      <c r="I1649" s="19">
        <v>800</v>
      </c>
      <c r="J1649" s="24" t="s">
        <v>20</v>
      </c>
      <c r="K1649" s="19"/>
    </row>
    <row r="1650" ht="31" customHeight="1" spans="1:11">
      <c r="A1650" s="19">
        <v>1646</v>
      </c>
      <c r="B1650" s="32" t="s">
        <v>1750</v>
      </c>
      <c r="C1650" s="32" t="s">
        <v>1782</v>
      </c>
      <c r="D1650" s="32" t="s">
        <v>1787</v>
      </c>
      <c r="E1650" s="32" t="s">
        <v>17</v>
      </c>
      <c r="F1650" s="32" t="s">
        <v>18</v>
      </c>
      <c r="G1650" s="32" t="s">
        <v>98</v>
      </c>
      <c r="H1650" s="68" t="s">
        <v>915</v>
      </c>
      <c r="I1650" s="19">
        <v>800</v>
      </c>
      <c r="J1650" s="24" t="s">
        <v>20</v>
      </c>
      <c r="K1650" s="19"/>
    </row>
    <row r="1651" ht="31" customHeight="1" spans="1:11">
      <c r="A1651" s="19">
        <v>1647</v>
      </c>
      <c r="B1651" s="32" t="s">
        <v>1750</v>
      </c>
      <c r="C1651" s="32" t="s">
        <v>1782</v>
      </c>
      <c r="D1651" s="32" t="s">
        <v>1788</v>
      </c>
      <c r="E1651" s="32" t="s">
        <v>17</v>
      </c>
      <c r="F1651" s="32" t="s">
        <v>18</v>
      </c>
      <c r="G1651" s="32" t="s">
        <v>55</v>
      </c>
      <c r="H1651" s="65">
        <v>45292</v>
      </c>
      <c r="I1651" s="19">
        <v>800</v>
      </c>
      <c r="J1651" s="24" t="s">
        <v>20</v>
      </c>
      <c r="K1651" s="19"/>
    </row>
    <row r="1652" ht="31" customHeight="1" spans="1:11">
      <c r="A1652" s="19">
        <v>1648</v>
      </c>
      <c r="B1652" s="32" t="s">
        <v>1750</v>
      </c>
      <c r="C1652" s="32" t="s">
        <v>1782</v>
      </c>
      <c r="D1652" s="32" t="s">
        <v>1789</v>
      </c>
      <c r="E1652" s="32" t="s">
        <v>17</v>
      </c>
      <c r="F1652" s="32" t="s">
        <v>18</v>
      </c>
      <c r="G1652" s="32" t="s">
        <v>19</v>
      </c>
      <c r="H1652" s="66">
        <v>45326</v>
      </c>
      <c r="I1652" s="19">
        <v>600</v>
      </c>
      <c r="J1652" s="24" t="s">
        <v>20</v>
      </c>
      <c r="K1652" s="19"/>
    </row>
    <row r="1653" ht="31" customHeight="1" spans="1:11">
      <c r="A1653" s="19">
        <v>1649</v>
      </c>
      <c r="B1653" s="32" t="s">
        <v>1750</v>
      </c>
      <c r="C1653" s="32" t="s">
        <v>1782</v>
      </c>
      <c r="D1653" s="32" t="s">
        <v>1790</v>
      </c>
      <c r="E1653" s="32" t="s">
        <v>17</v>
      </c>
      <c r="F1653" s="32" t="s">
        <v>18</v>
      </c>
      <c r="G1653" s="32" t="s">
        <v>19</v>
      </c>
      <c r="H1653" s="33">
        <v>45323</v>
      </c>
      <c r="I1653" s="19">
        <v>600</v>
      </c>
      <c r="J1653" s="24" t="s">
        <v>20</v>
      </c>
      <c r="K1653" s="19"/>
    </row>
    <row r="1654" ht="31" customHeight="1" spans="1:11">
      <c r="A1654" s="19">
        <v>1650</v>
      </c>
      <c r="B1654" s="32" t="s">
        <v>1750</v>
      </c>
      <c r="C1654" s="32" t="s">
        <v>1782</v>
      </c>
      <c r="D1654" s="32" t="s">
        <v>1791</v>
      </c>
      <c r="E1654" s="32" t="s">
        <v>17</v>
      </c>
      <c r="F1654" s="32" t="s">
        <v>18</v>
      </c>
      <c r="G1654" s="32" t="s">
        <v>19</v>
      </c>
      <c r="H1654" s="33">
        <v>45323</v>
      </c>
      <c r="I1654" s="19">
        <v>600</v>
      </c>
      <c r="J1654" s="24" t="s">
        <v>20</v>
      </c>
      <c r="K1654" s="19"/>
    </row>
    <row r="1655" ht="31" customHeight="1" spans="1:11">
      <c r="A1655" s="19">
        <v>1651</v>
      </c>
      <c r="B1655" s="32" t="s">
        <v>1750</v>
      </c>
      <c r="C1655" s="32" t="s">
        <v>1782</v>
      </c>
      <c r="D1655" s="32" t="s">
        <v>1792</v>
      </c>
      <c r="E1655" s="32" t="s">
        <v>17</v>
      </c>
      <c r="F1655" s="32" t="s">
        <v>18</v>
      </c>
      <c r="G1655" s="32" t="s">
        <v>19</v>
      </c>
      <c r="H1655" s="66">
        <v>45326</v>
      </c>
      <c r="I1655" s="19">
        <v>600</v>
      </c>
      <c r="J1655" s="24" t="s">
        <v>20</v>
      </c>
      <c r="K1655" s="19"/>
    </row>
    <row r="1656" ht="31" customHeight="1" spans="1:11">
      <c r="A1656" s="19">
        <v>1652</v>
      </c>
      <c r="B1656" s="32" t="s">
        <v>1750</v>
      </c>
      <c r="C1656" s="32" t="s">
        <v>1782</v>
      </c>
      <c r="D1656" s="32" t="s">
        <v>1793</v>
      </c>
      <c r="E1656" s="32" t="s">
        <v>17</v>
      </c>
      <c r="F1656" s="32" t="s">
        <v>18</v>
      </c>
      <c r="G1656" s="32" t="s">
        <v>19</v>
      </c>
      <c r="H1656" s="65">
        <v>45292</v>
      </c>
      <c r="I1656" s="19">
        <v>600</v>
      </c>
      <c r="J1656" s="24" t="s">
        <v>20</v>
      </c>
      <c r="K1656" s="19"/>
    </row>
    <row r="1657" ht="31" customHeight="1" spans="1:11">
      <c r="A1657" s="19">
        <v>1653</v>
      </c>
      <c r="B1657" s="32" t="s">
        <v>1750</v>
      </c>
      <c r="C1657" s="32" t="s">
        <v>1782</v>
      </c>
      <c r="D1657" s="32" t="s">
        <v>1794</v>
      </c>
      <c r="E1657" s="32" t="s">
        <v>17</v>
      </c>
      <c r="F1657" s="32" t="s">
        <v>18</v>
      </c>
      <c r="G1657" s="32" t="s">
        <v>19</v>
      </c>
      <c r="H1657" s="65">
        <v>45292</v>
      </c>
      <c r="I1657" s="19">
        <v>600</v>
      </c>
      <c r="J1657" s="24" t="s">
        <v>20</v>
      </c>
      <c r="K1657" s="19"/>
    </row>
    <row r="1658" ht="31" customHeight="1" spans="1:11">
      <c r="A1658" s="19">
        <v>1654</v>
      </c>
      <c r="B1658" s="32" t="s">
        <v>1750</v>
      </c>
      <c r="C1658" s="32" t="s">
        <v>1782</v>
      </c>
      <c r="D1658" s="32" t="s">
        <v>1795</v>
      </c>
      <c r="E1658" s="32" t="s">
        <v>17</v>
      </c>
      <c r="F1658" s="32" t="s">
        <v>18</v>
      </c>
      <c r="G1658" s="32" t="s">
        <v>19</v>
      </c>
      <c r="H1658" s="68" t="s">
        <v>238</v>
      </c>
      <c r="I1658" s="19">
        <v>600</v>
      </c>
      <c r="J1658" s="24" t="s">
        <v>20</v>
      </c>
      <c r="K1658" s="19"/>
    </row>
    <row r="1659" ht="31" customHeight="1" spans="1:11">
      <c r="A1659" s="19">
        <v>1655</v>
      </c>
      <c r="B1659" s="32" t="s">
        <v>1750</v>
      </c>
      <c r="C1659" s="32" t="s">
        <v>1782</v>
      </c>
      <c r="D1659" s="32" t="s">
        <v>1796</v>
      </c>
      <c r="E1659" s="32" t="s">
        <v>17</v>
      </c>
      <c r="F1659" s="32" t="s">
        <v>18</v>
      </c>
      <c r="G1659" s="32" t="s">
        <v>19</v>
      </c>
      <c r="H1659" s="68" t="s">
        <v>238</v>
      </c>
      <c r="I1659" s="19">
        <v>600</v>
      </c>
      <c r="J1659" s="24" t="s">
        <v>20</v>
      </c>
      <c r="K1659" s="19"/>
    </row>
    <row r="1660" ht="31" customHeight="1" spans="1:11">
      <c r="A1660" s="19">
        <v>1656</v>
      </c>
      <c r="B1660" s="32" t="s">
        <v>1750</v>
      </c>
      <c r="C1660" s="32" t="s">
        <v>1782</v>
      </c>
      <c r="D1660" s="32" t="s">
        <v>1797</v>
      </c>
      <c r="E1660" s="32" t="s">
        <v>17</v>
      </c>
      <c r="F1660" s="32" t="s">
        <v>82</v>
      </c>
      <c r="G1660" s="32" t="s">
        <v>19</v>
      </c>
      <c r="H1660" s="68" t="s">
        <v>238</v>
      </c>
      <c r="I1660" s="19">
        <v>300</v>
      </c>
      <c r="J1660" s="24" t="s">
        <v>20</v>
      </c>
      <c r="K1660" s="19"/>
    </row>
    <row r="1661" ht="31" customHeight="1" spans="1:11">
      <c r="A1661" s="19">
        <v>1657</v>
      </c>
      <c r="B1661" s="32" t="s">
        <v>1750</v>
      </c>
      <c r="C1661" s="32" t="s">
        <v>1782</v>
      </c>
      <c r="D1661" s="32" t="s">
        <v>1798</v>
      </c>
      <c r="E1661" s="32" t="s">
        <v>17</v>
      </c>
      <c r="F1661" s="32" t="s">
        <v>82</v>
      </c>
      <c r="G1661" s="32" t="s">
        <v>19</v>
      </c>
      <c r="H1661" s="68" t="s">
        <v>238</v>
      </c>
      <c r="I1661" s="19">
        <v>300</v>
      </c>
      <c r="J1661" s="24" t="s">
        <v>20</v>
      </c>
      <c r="K1661" s="19"/>
    </row>
    <row r="1662" ht="31" customHeight="1" spans="1:11">
      <c r="A1662" s="19">
        <v>1658</v>
      </c>
      <c r="B1662" s="32" t="s">
        <v>1750</v>
      </c>
      <c r="C1662" s="32" t="s">
        <v>1782</v>
      </c>
      <c r="D1662" s="32" t="s">
        <v>1799</v>
      </c>
      <c r="E1662" s="32" t="s">
        <v>17</v>
      </c>
      <c r="F1662" s="32" t="s">
        <v>18</v>
      </c>
      <c r="G1662" s="32" t="s">
        <v>19</v>
      </c>
      <c r="H1662" s="66">
        <v>45326</v>
      </c>
      <c r="I1662" s="19">
        <v>600</v>
      </c>
      <c r="J1662" s="24" t="s">
        <v>20</v>
      </c>
      <c r="K1662" s="19"/>
    </row>
    <row r="1663" ht="31" customHeight="1" spans="1:11">
      <c r="A1663" s="19">
        <v>1659</v>
      </c>
      <c r="B1663" s="32" t="s">
        <v>1750</v>
      </c>
      <c r="C1663" s="32" t="s">
        <v>1782</v>
      </c>
      <c r="D1663" s="32" t="s">
        <v>1800</v>
      </c>
      <c r="E1663" s="32" t="s">
        <v>17</v>
      </c>
      <c r="F1663" s="32" t="s">
        <v>18</v>
      </c>
      <c r="G1663" s="32" t="s">
        <v>19</v>
      </c>
      <c r="H1663" s="65">
        <v>45352</v>
      </c>
      <c r="I1663" s="19">
        <v>600</v>
      </c>
      <c r="J1663" s="24" t="s">
        <v>20</v>
      </c>
      <c r="K1663" s="19"/>
    </row>
    <row r="1664" ht="31" customHeight="1" spans="1:11">
      <c r="A1664" s="19">
        <v>1660</v>
      </c>
      <c r="B1664" s="32" t="s">
        <v>1750</v>
      </c>
      <c r="C1664" s="32" t="s">
        <v>1782</v>
      </c>
      <c r="D1664" s="32" t="s">
        <v>1801</v>
      </c>
      <c r="E1664" s="32" t="s">
        <v>17</v>
      </c>
      <c r="F1664" s="32" t="s">
        <v>18</v>
      </c>
      <c r="G1664" s="32" t="s">
        <v>19</v>
      </c>
      <c r="H1664" s="68" t="s">
        <v>491</v>
      </c>
      <c r="I1664" s="19">
        <v>600</v>
      </c>
      <c r="J1664" s="24" t="s">
        <v>20</v>
      </c>
      <c r="K1664" s="19"/>
    </row>
    <row r="1665" ht="31" customHeight="1" spans="1:11">
      <c r="A1665" s="19">
        <v>1661</v>
      </c>
      <c r="B1665" s="32" t="s">
        <v>1750</v>
      </c>
      <c r="C1665" s="32" t="s">
        <v>1782</v>
      </c>
      <c r="D1665" s="32" t="s">
        <v>1802</v>
      </c>
      <c r="E1665" s="32" t="s">
        <v>17</v>
      </c>
      <c r="F1665" s="32" t="s">
        <v>18</v>
      </c>
      <c r="G1665" s="32" t="s">
        <v>19</v>
      </c>
      <c r="H1665" s="68" t="s">
        <v>238</v>
      </c>
      <c r="I1665" s="19">
        <v>600</v>
      </c>
      <c r="J1665" s="24" t="s">
        <v>20</v>
      </c>
      <c r="K1665" s="19"/>
    </row>
    <row r="1666" ht="31" customHeight="1" spans="1:11">
      <c r="A1666" s="19">
        <v>1662</v>
      </c>
      <c r="B1666" s="32" t="s">
        <v>1750</v>
      </c>
      <c r="C1666" s="32" t="s">
        <v>1782</v>
      </c>
      <c r="D1666" s="32" t="s">
        <v>1803</v>
      </c>
      <c r="E1666" s="32" t="s">
        <v>17</v>
      </c>
      <c r="F1666" s="32" t="s">
        <v>18</v>
      </c>
      <c r="G1666" s="32" t="s">
        <v>19</v>
      </c>
      <c r="H1666" s="65">
        <v>45352</v>
      </c>
      <c r="I1666" s="19">
        <v>600</v>
      </c>
      <c r="J1666" s="24" t="s">
        <v>20</v>
      </c>
      <c r="K1666" s="19"/>
    </row>
    <row r="1667" ht="31" customHeight="1" spans="1:11">
      <c r="A1667" s="19">
        <v>1663</v>
      </c>
      <c r="B1667" s="32" t="s">
        <v>1750</v>
      </c>
      <c r="C1667" s="32" t="s">
        <v>1782</v>
      </c>
      <c r="D1667" s="68" t="s">
        <v>1804</v>
      </c>
      <c r="E1667" s="32" t="s">
        <v>17</v>
      </c>
      <c r="F1667" s="32" t="s">
        <v>18</v>
      </c>
      <c r="G1667" s="32" t="s">
        <v>19</v>
      </c>
      <c r="H1667" s="68" t="s">
        <v>491</v>
      </c>
      <c r="I1667" s="19">
        <f>IF(F1667="是",VLOOKUP(G1667,[284]Sheet2!A:C,3,FALSE),VLOOKUP(G1667,[284]Sheet2!A:B,2,FALSE))</f>
        <v>600</v>
      </c>
      <c r="J1667" s="24" t="s">
        <v>20</v>
      </c>
      <c r="K1667" s="19"/>
    </row>
    <row r="1668" ht="31" customHeight="1" spans="1:11">
      <c r="A1668" s="19">
        <v>1664</v>
      </c>
      <c r="B1668" s="32" t="s">
        <v>1750</v>
      </c>
      <c r="C1668" s="32" t="s">
        <v>1782</v>
      </c>
      <c r="D1668" s="32" t="s">
        <v>1805</v>
      </c>
      <c r="E1668" s="32" t="s">
        <v>17</v>
      </c>
      <c r="F1668" s="32" t="s">
        <v>18</v>
      </c>
      <c r="G1668" s="32" t="s">
        <v>19</v>
      </c>
      <c r="H1668" s="65">
        <v>45352</v>
      </c>
      <c r="I1668" s="19">
        <f>IF(F1668="是",VLOOKUP(G1668,[284]Sheet2!A:C,3,FALSE),VLOOKUP(G1668,[284]Sheet2!A:B,2,FALSE))</f>
        <v>600</v>
      </c>
      <c r="J1668" s="24" t="s">
        <v>20</v>
      </c>
      <c r="K1668" s="19"/>
    </row>
    <row r="1669" ht="31" customHeight="1" spans="1:11">
      <c r="A1669" s="19">
        <v>1665</v>
      </c>
      <c r="B1669" s="32" t="s">
        <v>1750</v>
      </c>
      <c r="C1669" s="32" t="s">
        <v>1782</v>
      </c>
      <c r="D1669" s="32" t="s">
        <v>1806</v>
      </c>
      <c r="E1669" s="32" t="s">
        <v>17</v>
      </c>
      <c r="F1669" s="32" t="s">
        <v>18</v>
      </c>
      <c r="G1669" s="32" t="s">
        <v>19</v>
      </c>
      <c r="H1669" s="68" t="s">
        <v>491</v>
      </c>
      <c r="I1669" s="19">
        <f>IF(F1669="是",VLOOKUP(G1669,[284]Sheet2!A:C,3,FALSE),VLOOKUP(G1669,[284]Sheet2!A:B,2,FALSE))</f>
        <v>600</v>
      </c>
      <c r="J1669" s="24" t="s">
        <v>20</v>
      </c>
      <c r="K1669" s="19"/>
    </row>
    <row r="1670" ht="31" customHeight="1" spans="1:11">
      <c r="A1670" s="19">
        <v>1666</v>
      </c>
      <c r="B1670" s="32" t="s">
        <v>1750</v>
      </c>
      <c r="C1670" s="32" t="s">
        <v>1782</v>
      </c>
      <c r="D1670" s="32" t="s">
        <v>1807</v>
      </c>
      <c r="E1670" s="32" t="s">
        <v>17</v>
      </c>
      <c r="F1670" s="32" t="s">
        <v>18</v>
      </c>
      <c r="G1670" s="32" t="s">
        <v>19</v>
      </c>
      <c r="H1670" s="65">
        <v>45352</v>
      </c>
      <c r="I1670" s="19">
        <v>600</v>
      </c>
      <c r="J1670" s="24" t="s">
        <v>20</v>
      </c>
      <c r="K1670" s="19"/>
    </row>
    <row r="1671" ht="31" customHeight="1" spans="1:11">
      <c r="A1671" s="19">
        <v>1667</v>
      </c>
      <c r="B1671" s="32" t="s">
        <v>1750</v>
      </c>
      <c r="C1671" s="32" t="s">
        <v>1782</v>
      </c>
      <c r="D1671" s="32" t="s">
        <v>1808</v>
      </c>
      <c r="E1671" s="32" t="s">
        <v>17</v>
      </c>
      <c r="F1671" s="32" t="s">
        <v>18</v>
      </c>
      <c r="G1671" s="32" t="s">
        <v>19</v>
      </c>
      <c r="H1671" s="65">
        <v>45352</v>
      </c>
      <c r="I1671" s="19">
        <v>600</v>
      </c>
      <c r="J1671" s="24" t="s">
        <v>20</v>
      </c>
      <c r="K1671" s="19"/>
    </row>
    <row r="1672" ht="31" customHeight="1" spans="1:11">
      <c r="A1672" s="19">
        <v>1668</v>
      </c>
      <c r="B1672" s="32" t="s">
        <v>1750</v>
      </c>
      <c r="C1672" s="32" t="s">
        <v>1782</v>
      </c>
      <c r="D1672" s="32" t="s">
        <v>1809</v>
      </c>
      <c r="E1672" s="32" t="s">
        <v>17</v>
      </c>
      <c r="F1672" s="32" t="s">
        <v>18</v>
      </c>
      <c r="G1672" s="32" t="s">
        <v>19</v>
      </c>
      <c r="H1672" s="65">
        <v>45352</v>
      </c>
      <c r="I1672" s="19">
        <v>600</v>
      </c>
      <c r="J1672" s="24" t="s">
        <v>20</v>
      </c>
      <c r="K1672" s="19"/>
    </row>
    <row r="1673" ht="31" customHeight="1" spans="1:11">
      <c r="A1673" s="19">
        <v>1669</v>
      </c>
      <c r="B1673" s="69" t="s">
        <v>1750</v>
      </c>
      <c r="C1673" s="69" t="s">
        <v>1810</v>
      </c>
      <c r="D1673" s="69" t="s">
        <v>1811</v>
      </c>
      <c r="E1673" s="32" t="s">
        <v>17</v>
      </c>
      <c r="F1673" s="69" t="s">
        <v>18</v>
      </c>
      <c r="G1673" s="69" t="s">
        <v>19</v>
      </c>
      <c r="H1673" s="70">
        <v>45342</v>
      </c>
      <c r="I1673" s="19">
        <v>600</v>
      </c>
      <c r="J1673" s="24" t="s">
        <v>20</v>
      </c>
      <c r="K1673" s="19"/>
    </row>
    <row r="1674" ht="31" customHeight="1" spans="1:11">
      <c r="A1674" s="19">
        <v>1670</v>
      </c>
      <c r="B1674" s="47" t="s">
        <v>1750</v>
      </c>
      <c r="C1674" s="47" t="s">
        <v>1810</v>
      </c>
      <c r="D1674" s="47" t="s">
        <v>1812</v>
      </c>
      <c r="E1674" s="32" t="s">
        <v>17</v>
      </c>
      <c r="F1674" s="47" t="s">
        <v>18</v>
      </c>
      <c r="G1674" s="47" t="s">
        <v>19</v>
      </c>
      <c r="H1674" s="57">
        <v>45342</v>
      </c>
      <c r="I1674" s="19">
        <v>600</v>
      </c>
      <c r="J1674" s="24" t="s">
        <v>20</v>
      </c>
      <c r="K1674" s="19"/>
    </row>
    <row r="1675" ht="31" customHeight="1" spans="1:11">
      <c r="A1675" s="19">
        <v>1671</v>
      </c>
      <c r="B1675" s="47" t="s">
        <v>1750</v>
      </c>
      <c r="C1675" s="47" t="s">
        <v>1810</v>
      </c>
      <c r="D1675" s="47" t="s">
        <v>1813</v>
      </c>
      <c r="E1675" s="32" t="s">
        <v>17</v>
      </c>
      <c r="F1675" s="47" t="s">
        <v>18</v>
      </c>
      <c r="G1675" s="47" t="s">
        <v>19</v>
      </c>
      <c r="H1675" s="57">
        <v>45348</v>
      </c>
      <c r="I1675" s="19">
        <v>600</v>
      </c>
      <c r="J1675" s="24" t="s">
        <v>20</v>
      </c>
      <c r="K1675" s="19"/>
    </row>
    <row r="1676" ht="31" customHeight="1" spans="1:11">
      <c r="A1676" s="19">
        <v>1672</v>
      </c>
      <c r="B1676" s="47" t="s">
        <v>1750</v>
      </c>
      <c r="C1676" s="47" t="s">
        <v>1810</v>
      </c>
      <c r="D1676" s="47" t="s">
        <v>1814</v>
      </c>
      <c r="E1676" s="32" t="s">
        <v>17</v>
      </c>
      <c r="F1676" s="47" t="s">
        <v>18</v>
      </c>
      <c r="G1676" s="47" t="s">
        <v>19</v>
      </c>
      <c r="H1676" s="57">
        <v>45348</v>
      </c>
      <c r="I1676" s="19">
        <v>600</v>
      </c>
      <c r="J1676" s="24" t="s">
        <v>20</v>
      </c>
      <c r="K1676" s="19"/>
    </row>
    <row r="1677" ht="31" customHeight="1" spans="1:11">
      <c r="A1677" s="19">
        <v>1673</v>
      </c>
      <c r="B1677" s="47" t="s">
        <v>1750</v>
      </c>
      <c r="C1677" s="47" t="s">
        <v>1810</v>
      </c>
      <c r="D1677" s="47" t="s">
        <v>1815</v>
      </c>
      <c r="E1677" s="32" t="s">
        <v>17</v>
      </c>
      <c r="F1677" s="47" t="s">
        <v>18</v>
      </c>
      <c r="G1677" s="47" t="s">
        <v>1816</v>
      </c>
      <c r="H1677" s="57">
        <v>45338</v>
      </c>
      <c r="I1677" s="19">
        <v>800</v>
      </c>
      <c r="J1677" s="24" t="s">
        <v>20</v>
      </c>
      <c r="K1677" s="19"/>
    </row>
    <row r="1678" ht="31" customHeight="1" spans="1:11">
      <c r="A1678" s="19">
        <v>1674</v>
      </c>
      <c r="B1678" s="47" t="s">
        <v>1750</v>
      </c>
      <c r="C1678" s="47" t="s">
        <v>1810</v>
      </c>
      <c r="D1678" s="47" t="s">
        <v>1817</v>
      </c>
      <c r="E1678" s="32" t="s">
        <v>17</v>
      </c>
      <c r="F1678" s="47" t="s">
        <v>18</v>
      </c>
      <c r="G1678" s="47" t="s">
        <v>19</v>
      </c>
      <c r="H1678" s="57">
        <v>45338</v>
      </c>
      <c r="I1678" s="19">
        <v>600</v>
      </c>
      <c r="J1678" s="24" t="s">
        <v>20</v>
      </c>
      <c r="K1678" s="19"/>
    </row>
    <row r="1679" ht="31" customHeight="1" spans="1:11">
      <c r="A1679" s="19">
        <v>1675</v>
      </c>
      <c r="B1679" s="47" t="s">
        <v>1750</v>
      </c>
      <c r="C1679" s="47" t="s">
        <v>1810</v>
      </c>
      <c r="D1679" s="47" t="s">
        <v>1818</v>
      </c>
      <c r="E1679" s="32" t="s">
        <v>17</v>
      </c>
      <c r="F1679" s="47" t="s">
        <v>18</v>
      </c>
      <c r="G1679" s="47" t="s">
        <v>19</v>
      </c>
      <c r="H1679" s="57">
        <v>45416</v>
      </c>
      <c r="I1679" s="19">
        <v>600</v>
      </c>
      <c r="J1679" s="24" t="s">
        <v>20</v>
      </c>
      <c r="K1679" s="19"/>
    </row>
    <row r="1680" ht="31" customHeight="1" spans="1:11">
      <c r="A1680" s="19">
        <v>1676</v>
      </c>
      <c r="B1680" s="47" t="s">
        <v>1750</v>
      </c>
      <c r="C1680" s="47" t="s">
        <v>1810</v>
      </c>
      <c r="D1680" s="47" t="s">
        <v>1819</v>
      </c>
      <c r="E1680" s="32" t="s">
        <v>17</v>
      </c>
      <c r="F1680" s="47" t="s">
        <v>18</v>
      </c>
      <c r="G1680" s="47" t="s">
        <v>98</v>
      </c>
      <c r="H1680" s="57">
        <v>45352</v>
      </c>
      <c r="I1680" s="19">
        <v>800</v>
      </c>
      <c r="J1680" s="24" t="s">
        <v>20</v>
      </c>
      <c r="K1680" s="19"/>
    </row>
    <row r="1681" ht="31" customHeight="1" spans="1:11">
      <c r="A1681" s="19">
        <v>1677</v>
      </c>
      <c r="B1681" s="47" t="s">
        <v>1750</v>
      </c>
      <c r="C1681" s="47" t="s">
        <v>1810</v>
      </c>
      <c r="D1681" s="47" t="s">
        <v>1820</v>
      </c>
      <c r="E1681" s="32" t="s">
        <v>17</v>
      </c>
      <c r="F1681" s="47" t="s">
        <v>18</v>
      </c>
      <c r="G1681" s="47" t="s">
        <v>19</v>
      </c>
      <c r="H1681" s="57">
        <v>45346</v>
      </c>
      <c r="I1681" s="19">
        <v>600</v>
      </c>
      <c r="J1681" s="24" t="s">
        <v>20</v>
      </c>
      <c r="K1681" s="19"/>
    </row>
    <row r="1682" ht="31" customHeight="1" spans="1:11">
      <c r="A1682" s="19">
        <v>1678</v>
      </c>
      <c r="B1682" s="47" t="s">
        <v>1750</v>
      </c>
      <c r="C1682" s="47" t="s">
        <v>1810</v>
      </c>
      <c r="D1682" s="47" t="s">
        <v>1821</v>
      </c>
      <c r="E1682" s="32" t="s">
        <v>17</v>
      </c>
      <c r="F1682" s="47" t="s">
        <v>18</v>
      </c>
      <c r="G1682" s="47" t="s">
        <v>19</v>
      </c>
      <c r="H1682" s="57">
        <v>45346</v>
      </c>
      <c r="I1682" s="19">
        <v>600</v>
      </c>
      <c r="J1682" s="24" t="s">
        <v>20</v>
      </c>
      <c r="K1682" s="19"/>
    </row>
    <row r="1683" ht="31" customHeight="1" spans="1:11">
      <c r="A1683" s="19">
        <v>1679</v>
      </c>
      <c r="B1683" s="47" t="s">
        <v>1750</v>
      </c>
      <c r="C1683" s="47" t="s">
        <v>1810</v>
      </c>
      <c r="D1683" s="47" t="s">
        <v>1822</v>
      </c>
      <c r="E1683" s="32" t="s">
        <v>17</v>
      </c>
      <c r="F1683" s="47" t="s">
        <v>18</v>
      </c>
      <c r="G1683" s="47" t="s">
        <v>19</v>
      </c>
      <c r="H1683" s="57">
        <v>45340</v>
      </c>
      <c r="I1683" s="19">
        <v>600</v>
      </c>
      <c r="J1683" s="24" t="s">
        <v>20</v>
      </c>
      <c r="K1683" s="19"/>
    </row>
    <row r="1684" ht="31" customHeight="1" spans="1:11">
      <c r="A1684" s="19">
        <v>1680</v>
      </c>
      <c r="B1684" s="47" t="s">
        <v>1750</v>
      </c>
      <c r="C1684" s="47" t="s">
        <v>1810</v>
      </c>
      <c r="D1684" s="47" t="s">
        <v>1823</v>
      </c>
      <c r="E1684" s="32" t="s">
        <v>17</v>
      </c>
      <c r="F1684" s="47" t="s">
        <v>18</v>
      </c>
      <c r="G1684" s="47" t="s">
        <v>19</v>
      </c>
      <c r="H1684" s="57">
        <v>45337</v>
      </c>
      <c r="I1684" s="19">
        <v>600</v>
      </c>
      <c r="J1684" s="24" t="s">
        <v>20</v>
      </c>
      <c r="K1684" s="19"/>
    </row>
    <row r="1685" ht="31" customHeight="1" spans="1:11">
      <c r="A1685" s="19">
        <v>1681</v>
      </c>
      <c r="B1685" s="47" t="s">
        <v>1750</v>
      </c>
      <c r="C1685" s="47" t="s">
        <v>1810</v>
      </c>
      <c r="D1685" s="47" t="s">
        <v>1824</v>
      </c>
      <c r="E1685" s="32" t="s">
        <v>17</v>
      </c>
      <c r="F1685" s="47" t="s">
        <v>18</v>
      </c>
      <c r="G1685" s="47" t="s">
        <v>19</v>
      </c>
      <c r="H1685" s="57">
        <v>45341</v>
      </c>
      <c r="I1685" s="19">
        <v>600</v>
      </c>
      <c r="J1685" s="24" t="s">
        <v>20</v>
      </c>
      <c r="K1685" s="19"/>
    </row>
    <row r="1686" ht="31" customHeight="1" spans="1:11">
      <c r="A1686" s="19">
        <v>1682</v>
      </c>
      <c r="B1686" s="47" t="s">
        <v>1750</v>
      </c>
      <c r="C1686" s="47" t="s">
        <v>1810</v>
      </c>
      <c r="D1686" s="47" t="s">
        <v>1825</v>
      </c>
      <c r="E1686" s="32" t="s">
        <v>17</v>
      </c>
      <c r="F1686" s="47" t="s">
        <v>18</v>
      </c>
      <c r="G1686" s="47" t="s">
        <v>19</v>
      </c>
      <c r="H1686" s="57">
        <v>45341</v>
      </c>
      <c r="I1686" s="19">
        <v>600</v>
      </c>
      <c r="J1686" s="24" t="s">
        <v>20</v>
      </c>
      <c r="K1686" s="19"/>
    </row>
    <row r="1687" ht="31" customHeight="1" spans="1:11">
      <c r="A1687" s="19">
        <v>1683</v>
      </c>
      <c r="B1687" s="47" t="s">
        <v>1750</v>
      </c>
      <c r="C1687" s="47" t="s">
        <v>1810</v>
      </c>
      <c r="D1687" s="47" t="s">
        <v>1826</v>
      </c>
      <c r="E1687" s="32" t="s">
        <v>17</v>
      </c>
      <c r="F1687" s="47" t="s">
        <v>18</v>
      </c>
      <c r="G1687" s="47" t="s">
        <v>19</v>
      </c>
      <c r="H1687" s="57">
        <v>45341</v>
      </c>
      <c r="I1687" s="19">
        <v>600</v>
      </c>
      <c r="J1687" s="24" t="s">
        <v>20</v>
      </c>
      <c r="K1687" s="19"/>
    </row>
    <row r="1688" ht="31" customHeight="1" spans="1:11">
      <c r="A1688" s="19">
        <v>1684</v>
      </c>
      <c r="B1688" s="47" t="s">
        <v>1750</v>
      </c>
      <c r="C1688" s="47" t="s">
        <v>1810</v>
      </c>
      <c r="D1688" s="47" t="s">
        <v>1827</v>
      </c>
      <c r="E1688" s="32" t="s">
        <v>17</v>
      </c>
      <c r="F1688" s="47" t="s">
        <v>18</v>
      </c>
      <c r="G1688" s="47" t="s">
        <v>19</v>
      </c>
      <c r="H1688" s="57">
        <v>45342</v>
      </c>
      <c r="I1688" s="19">
        <v>600</v>
      </c>
      <c r="J1688" s="24" t="s">
        <v>20</v>
      </c>
      <c r="K1688" s="19"/>
    </row>
    <row r="1689" ht="31" customHeight="1" spans="1:11">
      <c r="A1689" s="19">
        <v>1685</v>
      </c>
      <c r="B1689" s="47" t="s">
        <v>1750</v>
      </c>
      <c r="C1689" s="47" t="s">
        <v>1810</v>
      </c>
      <c r="D1689" s="47" t="s">
        <v>1828</v>
      </c>
      <c r="E1689" s="32" t="s">
        <v>17</v>
      </c>
      <c r="F1689" s="47" t="s">
        <v>18</v>
      </c>
      <c r="G1689" s="47" t="s">
        <v>19</v>
      </c>
      <c r="H1689" s="57">
        <v>45342</v>
      </c>
      <c r="I1689" s="19">
        <v>600</v>
      </c>
      <c r="J1689" s="24" t="s">
        <v>20</v>
      </c>
      <c r="K1689" s="19"/>
    </row>
    <row r="1690" ht="31" customHeight="1" spans="1:11">
      <c r="A1690" s="19">
        <v>1686</v>
      </c>
      <c r="B1690" s="47" t="s">
        <v>1750</v>
      </c>
      <c r="C1690" s="47" t="s">
        <v>1810</v>
      </c>
      <c r="D1690" s="47" t="s">
        <v>1829</v>
      </c>
      <c r="E1690" s="32" t="s">
        <v>17</v>
      </c>
      <c r="F1690" s="47" t="s">
        <v>18</v>
      </c>
      <c r="G1690" s="47" t="s">
        <v>19</v>
      </c>
      <c r="H1690" s="57">
        <v>45390</v>
      </c>
      <c r="I1690" s="19">
        <v>600</v>
      </c>
      <c r="J1690" s="24" t="s">
        <v>20</v>
      </c>
      <c r="K1690" s="19"/>
    </row>
    <row r="1691" ht="31" customHeight="1" spans="1:11">
      <c r="A1691" s="19">
        <v>1687</v>
      </c>
      <c r="B1691" s="47" t="s">
        <v>1750</v>
      </c>
      <c r="C1691" s="47" t="s">
        <v>1810</v>
      </c>
      <c r="D1691" s="47" t="s">
        <v>1830</v>
      </c>
      <c r="E1691" s="32" t="s">
        <v>17</v>
      </c>
      <c r="F1691" s="47" t="s">
        <v>18</v>
      </c>
      <c r="G1691" s="47" t="s">
        <v>19</v>
      </c>
      <c r="H1691" s="57">
        <v>45390</v>
      </c>
      <c r="I1691" s="19">
        <v>600</v>
      </c>
      <c r="J1691" s="24" t="s">
        <v>20</v>
      </c>
      <c r="K1691" s="19"/>
    </row>
    <row r="1692" ht="31" customHeight="1" spans="1:11">
      <c r="A1692" s="19">
        <v>1688</v>
      </c>
      <c r="B1692" s="47" t="s">
        <v>1750</v>
      </c>
      <c r="C1692" s="47" t="s">
        <v>1810</v>
      </c>
      <c r="D1692" s="47" t="s">
        <v>1831</v>
      </c>
      <c r="E1692" s="32" t="s">
        <v>17</v>
      </c>
      <c r="F1692" s="47" t="s">
        <v>18</v>
      </c>
      <c r="G1692" s="47" t="s">
        <v>19</v>
      </c>
      <c r="H1692" s="57">
        <v>45350</v>
      </c>
      <c r="I1692" s="19">
        <v>600</v>
      </c>
      <c r="J1692" s="24" t="s">
        <v>20</v>
      </c>
      <c r="K1692" s="19"/>
    </row>
    <row r="1693" ht="31" customHeight="1" spans="1:11">
      <c r="A1693" s="19">
        <v>1689</v>
      </c>
      <c r="B1693" s="47" t="s">
        <v>1750</v>
      </c>
      <c r="C1693" s="47" t="s">
        <v>1810</v>
      </c>
      <c r="D1693" s="71" t="s">
        <v>1832</v>
      </c>
      <c r="E1693" s="32" t="s">
        <v>17</v>
      </c>
      <c r="F1693" s="71" t="s">
        <v>18</v>
      </c>
      <c r="G1693" s="47" t="s">
        <v>19</v>
      </c>
      <c r="H1693" s="58">
        <v>45350</v>
      </c>
      <c r="I1693" s="19">
        <v>600</v>
      </c>
      <c r="J1693" s="24" t="s">
        <v>20</v>
      </c>
      <c r="K1693" s="19"/>
    </row>
    <row r="1694" ht="31" customHeight="1" spans="1:11">
      <c r="A1694" s="19">
        <v>1690</v>
      </c>
      <c r="B1694" s="47" t="s">
        <v>1750</v>
      </c>
      <c r="C1694" s="47" t="s">
        <v>1810</v>
      </c>
      <c r="D1694" s="47" t="s">
        <v>1833</v>
      </c>
      <c r="E1694" s="32" t="s">
        <v>17</v>
      </c>
      <c r="F1694" s="47" t="s">
        <v>18</v>
      </c>
      <c r="G1694" s="47" t="s">
        <v>19</v>
      </c>
      <c r="H1694" s="57">
        <v>45353</v>
      </c>
      <c r="I1694" s="19">
        <v>600</v>
      </c>
      <c r="J1694" s="24" t="s">
        <v>20</v>
      </c>
      <c r="K1694" s="19"/>
    </row>
    <row r="1695" ht="31" customHeight="1" spans="1:11">
      <c r="A1695" s="19">
        <v>1691</v>
      </c>
      <c r="B1695" s="47" t="s">
        <v>1750</v>
      </c>
      <c r="C1695" s="47" t="s">
        <v>1810</v>
      </c>
      <c r="D1695" s="47" t="s">
        <v>1834</v>
      </c>
      <c r="E1695" s="32" t="s">
        <v>17</v>
      </c>
      <c r="F1695" s="47" t="s">
        <v>18</v>
      </c>
      <c r="G1695" s="47" t="s">
        <v>19</v>
      </c>
      <c r="H1695" s="57">
        <v>45391</v>
      </c>
      <c r="I1695" s="19">
        <v>600</v>
      </c>
      <c r="J1695" s="24" t="s">
        <v>20</v>
      </c>
      <c r="K1695" s="19"/>
    </row>
    <row r="1696" ht="31" customHeight="1" spans="1:11">
      <c r="A1696" s="19">
        <v>1692</v>
      </c>
      <c r="B1696" s="47" t="s">
        <v>1750</v>
      </c>
      <c r="C1696" s="47" t="s">
        <v>1810</v>
      </c>
      <c r="D1696" s="47" t="s">
        <v>1835</v>
      </c>
      <c r="E1696" s="32" t="s">
        <v>17</v>
      </c>
      <c r="F1696" s="47" t="s">
        <v>18</v>
      </c>
      <c r="G1696" s="47" t="s">
        <v>19</v>
      </c>
      <c r="H1696" s="57">
        <v>45350</v>
      </c>
      <c r="I1696" s="19">
        <v>600</v>
      </c>
      <c r="J1696" s="24" t="s">
        <v>20</v>
      </c>
      <c r="K1696" s="19"/>
    </row>
    <row r="1697" ht="31" customHeight="1" spans="1:11">
      <c r="A1697" s="19">
        <v>1693</v>
      </c>
      <c r="B1697" s="47" t="s">
        <v>1750</v>
      </c>
      <c r="C1697" s="47" t="s">
        <v>1810</v>
      </c>
      <c r="D1697" s="47" t="s">
        <v>1836</v>
      </c>
      <c r="E1697" s="32" t="s">
        <v>17</v>
      </c>
      <c r="F1697" s="47" t="s">
        <v>18</v>
      </c>
      <c r="G1697" s="47" t="s">
        <v>19</v>
      </c>
      <c r="H1697" s="57">
        <v>45350</v>
      </c>
      <c r="I1697" s="19">
        <v>600</v>
      </c>
      <c r="J1697" s="24" t="s">
        <v>20</v>
      </c>
      <c r="K1697" s="19"/>
    </row>
    <row r="1698" ht="31" customHeight="1" spans="1:11">
      <c r="A1698" s="19">
        <v>1694</v>
      </c>
      <c r="B1698" s="47" t="s">
        <v>1750</v>
      </c>
      <c r="C1698" s="47" t="s">
        <v>1810</v>
      </c>
      <c r="D1698" s="47" t="s">
        <v>1837</v>
      </c>
      <c r="E1698" s="32" t="s">
        <v>17</v>
      </c>
      <c r="F1698" s="47" t="s">
        <v>18</v>
      </c>
      <c r="G1698" s="47" t="s">
        <v>32</v>
      </c>
      <c r="H1698" s="57">
        <v>45366</v>
      </c>
      <c r="I1698" s="19">
        <v>800</v>
      </c>
      <c r="J1698" s="24" t="s">
        <v>20</v>
      </c>
      <c r="K1698" s="19"/>
    </row>
    <row r="1699" ht="31" customHeight="1" spans="1:11">
      <c r="A1699" s="19">
        <v>1695</v>
      </c>
      <c r="B1699" s="47" t="s">
        <v>1750</v>
      </c>
      <c r="C1699" s="47" t="s">
        <v>1810</v>
      </c>
      <c r="D1699" s="47" t="s">
        <v>1838</v>
      </c>
      <c r="E1699" s="32" t="s">
        <v>17</v>
      </c>
      <c r="F1699" s="47" t="s">
        <v>18</v>
      </c>
      <c r="G1699" s="47" t="s">
        <v>19</v>
      </c>
      <c r="H1699" s="57">
        <v>45340</v>
      </c>
      <c r="I1699" s="19">
        <v>600</v>
      </c>
      <c r="J1699" s="24" t="s">
        <v>20</v>
      </c>
      <c r="K1699" s="19"/>
    </row>
    <row r="1700" ht="31" customHeight="1" spans="1:11">
      <c r="A1700" s="19">
        <v>1696</v>
      </c>
      <c r="B1700" s="47" t="s">
        <v>1750</v>
      </c>
      <c r="C1700" s="47" t="s">
        <v>1810</v>
      </c>
      <c r="D1700" s="47" t="s">
        <v>1839</v>
      </c>
      <c r="E1700" s="32" t="s">
        <v>17</v>
      </c>
      <c r="F1700" s="47" t="s">
        <v>18</v>
      </c>
      <c r="G1700" s="47" t="s">
        <v>19</v>
      </c>
      <c r="H1700" s="57">
        <v>45413</v>
      </c>
      <c r="I1700" s="19">
        <v>600</v>
      </c>
      <c r="J1700" s="24" t="s">
        <v>20</v>
      </c>
      <c r="K1700" s="19"/>
    </row>
    <row r="1701" ht="31" customHeight="1" spans="1:11">
      <c r="A1701" s="19">
        <v>1697</v>
      </c>
      <c r="B1701" s="47" t="s">
        <v>1750</v>
      </c>
      <c r="C1701" s="47" t="s">
        <v>1810</v>
      </c>
      <c r="D1701" s="47" t="s">
        <v>1840</v>
      </c>
      <c r="E1701" s="32" t="s">
        <v>17</v>
      </c>
      <c r="F1701" s="47" t="s">
        <v>18</v>
      </c>
      <c r="G1701" s="47" t="s">
        <v>19</v>
      </c>
      <c r="H1701" s="57">
        <v>45348</v>
      </c>
      <c r="I1701" s="19">
        <v>600</v>
      </c>
      <c r="J1701" s="24" t="s">
        <v>20</v>
      </c>
      <c r="K1701" s="19"/>
    </row>
    <row r="1702" ht="31" customHeight="1" spans="1:11">
      <c r="A1702" s="19">
        <v>1698</v>
      </c>
      <c r="B1702" s="47" t="s">
        <v>1750</v>
      </c>
      <c r="C1702" s="47" t="s">
        <v>1810</v>
      </c>
      <c r="D1702" s="47" t="s">
        <v>1841</v>
      </c>
      <c r="E1702" s="32" t="s">
        <v>17</v>
      </c>
      <c r="F1702" s="47" t="s">
        <v>18</v>
      </c>
      <c r="G1702" s="47" t="s">
        <v>19</v>
      </c>
      <c r="H1702" s="57">
        <v>45339</v>
      </c>
      <c r="I1702" s="19">
        <v>600</v>
      </c>
      <c r="J1702" s="24" t="s">
        <v>20</v>
      </c>
      <c r="K1702" s="19"/>
    </row>
    <row r="1703" ht="31" customHeight="1" spans="1:11">
      <c r="A1703" s="19">
        <v>1699</v>
      </c>
      <c r="B1703" s="47" t="s">
        <v>1750</v>
      </c>
      <c r="C1703" s="47" t="s">
        <v>1810</v>
      </c>
      <c r="D1703" s="47" t="s">
        <v>1842</v>
      </c>
      <c r="E1703" s="32" t="s">
        <v>17</v>
      </c>
      <c r="F1703" s="47" t="s">
        <v>18</v>
      </c>
      <c r="G1703" s="47" t="s">
        <v>19</v>
      </c>
      <c r="H1703" s="57">
        <v>45350</v>
      </c>
      <c r="I1703" s="19">
        <v>600</v>
      </c>
      <c r="J1703" s="24" t="s">
        <v>20</v>
      </c>
      <c r="K1703" s="19"/>
    </row>
    <row r="1704" ht="31" customHeight="1" spans="1:11">
      <c r="A1704" s="19">
        <v>1700</v>
      </c>
      <c r="B1704" s="47" t="s">
        <v>1750</v>
      </c>
      <c r="C1704" s="47" t="s">
        <v>1810</v>
      </c>
      <c r="D1704" s="47" t="s">
        <v>1843</v>
      </c>
      <c r="E1704" s="32" t="s">
        <v>17</v>
      </c>
      <c r="F1704" s="47" t="s">
        <v>18</v>
      </c>
      <c r="G1704" s="47" t="s">
        <v>19</v>
      </c>
      <c r="H1704" s="57">
        <v>45345</v>
      </c>
      <c r="I1704" s="19">
        <v>600</v>
      </c>
      <c r="J1704" s="24" t="s">
        <v>20</v>
      </c>
      <c r="K1704" s="19"/>
    </row>
    <row r="1705" ht="31" customHeight="1" spans="1:11">
      <c r="A1705" s="19">
        <v>1701</v>
      </c>
      <c r="B1705" s="47" t="s">
        <v>1750</v>
      </c>
      <c r="C1705" s="47" t="s">
        <v>1810</v>
      </c>
      <c r="D1705" s="47" t="s">
        <v>1844</v>
      </c>
      <c r="E1705" s="32" t="s">
        <v>17</v>
      </c>
      <c r="F1705" s="47" t="s">
        <v>18</v>
      </c>
      <c r="G1705" s="47" t="s">
        <v>55</v>
      </c>
      <c r="H1705" s="57">
        <v>45356</v>
      </c>
      <c r="I1705" s="19">
        <v>800</v>
      </c>
      <c r="J1705" s="24" t="s">
        <v>20</v>
      </c>
      <c r="K1705" s="19"/>
    </row>
    <row r="1706" ht="31" customHeight="1" spans="1:11">
      <c r="A1706" s="19">
        <v>1702</v>
      </c>
      <c r="B1706" s="47" t="s">
        <v>1750</v>
      </c>
      <c r="C1706" s="47" t="s">
        <v>1810</v>
      </c>
      <c r="D1706" s="47" t="s">
        <v>1845</v>
      </c>
      <c r="E1706" s="32" t="s">
        <v>17</v>
      </c>
      <c r="F1706" s="47" t="s">
        <v>18</v>
      </c>
      <c r="G1706" s="47" t="s">
        <v>55</v>
      </c>
      <c r="H1706" s="57">
        <v>45361</v>
      </c>
      <c r="I1706" s="19">
        <v>800</v>
      </c>
      <c r="J1706" s="24" t="s">
        <v>20</v>
      </c>
      <c r="K1706" s="19"/>
    </row>
    <row r="1707" ht="31" customHeight="1" spans="1:11">
      <c r="A1707" s="19">
        <v>1703</v>
      </c>
      <c r="B1707" s="47" t="s">
        <v>1750</v>
      </c>
      <c r="C1707" s="47" t="s">
        <v>1810</v>
      </c>
      <c r="D1707" s="72" t="s">
        <v>1846</v>
      </c>
      <c r="E1707" s="32" t="s">
        <v>17</v>
      </c>
      <c r="F1707" s="47" t="s">
        <v>18</v>
      </c>
      <c r="G1707" s="47" t="s">
        <v>55</v>
      </c>
      <c r="H1707" s="57">
        <v>45361</v>
      </c>
      <c r="I1707" s="19">
        <v>800</v>
      </c>
      <c r="J1707" s="24" t="s">
        <v>20</v>
      </c>
      <c r="K1707" s="19"/>
    </row>
    <row r="1708" ht="31" customHeight="1" spans="1:11">
      <c r="A1708" s="19">
        <v>1704</v>
      </c>
      <c r="B1708" s="47" t="s">
        <v>1750</v>
      </c>
      <c r="C1708" s="47" t="s">
        <v>1810</v>
      </c>
      <c r="D1708" s="47" t="s">
        <v>1847</v>
      </c>
      <c r="E1708" s="32" t="s">
        <v>17</v>
      </c>
      <c r="F1708" s="47" t="s">
        <v>18</v>
      </c>
      <c r="G1708" s="47" t="s">
        <v>19</v>
      </c>
      <c r="H1708" s="57">
        <v>45342</v>
      </c>
      <c r="I1708" s="19">
        <v>600</v>
      </c>
      <c r="J1708" s="24" t="s">
        <v>20</v>
      </c>
      <c r="K1708" s="19"/>
    </row>
    <row r="1709" ht="31" customHeight="1" spans="1:11">
      <c r="A1709" s="19">
        <v>1705</v>
      </c>
      <c r="B1709" s="47" t="s">
        <v>1750</v>
      </c>
      <c r="C1709" s="47" t="s">
        <v>1810</v>
      </c>
      <c r="D1709" s="47" t="s">
        <v>1848</v>
      </c>
      <c r="E1709" s="32" t="s">
        <v>17</v>
      </c>
      <c r="F1709" s="47" t="s">
        <v>18</v>
      </c>
      <c r="G1709" s="47" t="s">
        <v>19</v>
      </c>
      <c r="H1709" s="57">
        <v>45352</v>
      </c>
      <c r="I1709" s="19">
        <v>600</v>
      </c>
      <c r="J1709" s="24" t="s">
        <v>20</v>
      </c>
      <c r="K1709" s="19"/>
    </row>
    <row r="1710" ht="31" customHeight="1" spans="1:11">
      <c r="A1710" s="19">
        <v>1706</v>
      </c>
      <c r="B1710" s="47" t="s">
        <v>1750</v>
      </c>
      <c r="C1710" s="47" t="s">
        <v>1810</v>
      </c>
      <c r="D1710" s="47" t="s">
        <v>1849</v>
      </c>
      <c r="E1710" s="32" t="s">
        <v>17</v>
      </c>
      <c r="F1710" s="47" t="s">
        <v>18</v>
      </c>
      <c r="G1710" s="47" t="s">
        <v>32</v>
      </c>
      <c r="H1710" s="57">
        <v>45364</v>
      </c>
      <c r="I1710" s="19">
        <v>800</v>
      </c>
      <c r="J1710" s="24" t="s">
        <v>20</v>
      </c>
      <c r="K1710" s="19"/>
    </row>
    <row r="1711" ht="31" customHeight="1" spans="1:11">
      <c r="A1711" s="19">
        <v>1707</v>
      </c>
      <c r="B1711" s="47" t="s">
        <v>1750</v>
      </c>
      <c r="C1711" s="47" t="s">
        <v>1810</v>
      </c>
      <c r="D1711" s="47" t="s">
        <v>1850</v>
      </c>
      <c r="E1711" s="32" t="s">
        <v>17</v>
      </c>
      <c r="F1711" s="47" t="s">
        <v>18</v>
      </c>
      <c r="G1711" s="47" t="s">
        <v>19</v>
      </c>
      <c r="H1711" s="57">
        <v>45341</v>
      </c>
      <c r="I1711" s="19">
        <v>600</v>
      </c>
      <c r="J1711" s="24" t="s">
        <v>20</v>
      </c>
      <c r="K1711" s="19"/>
    </row>
    <row r="1712" ht="31" customHeight="1" spans="1:11">
      <c r="A1712" s="19">
        <v>1708</v>
      </c>
      <c r="B1712" s="47" t="s">
        <v>1750</v>
      </c>
      <c r="C1712" s="47" t="s">
        <v>1810</v>
      </c>
      <c r="D1712" s="47" t="s">
        <v>1851</v>
      </c>
      <c r="E1712" s="32" t="s">
        <v>17</v>
      </c>
      <c r="F1712" s="47" t="s">
        <v>18</v>
      </c>
      <c r="G1712" s="47" t="s">
        <v>19</v>
      </c>
      <c r="H1712" s="57">
        <v>45332</v>
      </c>
      <c r="I1712" s="19">
        <v>600</v>
      </c>
      <c r="J1712" s="24" t="s">
        <v>20</v>
      </c>
      <c r="K1712" s="19"/>
    </row>
    <row r="1713" ht="31" customHeight="1" spans="1:11">
      <c r="A1713" s="19">
        <v>1709</v>
      </c>
      <c r="B1713" s="47" t="s">
        <v>1750</v>
      </c>
      <c r="C1713" s="47" t="s">
        <v>1810</v>
      </c>
      <c r="D1713" s="47" t="s">
        <v>1794</v>
      </c>
      <c r="E1713" s="32" t="s">
        <v>17</v>
      </c>
      <c r="F1713" s="47" t="s">
        <v>18</v>
      </c>
      <c r="G1713" s="47" t="s">
        <v>19</v>
      </c>
      <c r="H1713" s="57">
        <v>45293</v>
      </c>
      <c r="I1713" s="19">
        <v>600</v>
      </c>
      <c r="J1713" s="24" t="s">
        <v>20</v>
      </c>
      <c r="K1713" s="19"/>
    </row>
    <row r="1714" ht="31" customHeight="1" spans="1:11">
      <c r="A1714" s="19">
        <v>1710</v>
      </c>
      <c r="B1714" s="47" t="s">
        <v>1750</v>
      </c>
      <c r="C1714" s="47" t="s">
        <v>1810</v>
      </c>
      <c r="D1714" s="47" t="s">
        <v>1852</v>
      </c>
      <c r="E1714" s="32" t="s">
        <v>17</v>
      </c>
      <c r="F1714" s="47" t="s">
        <v>18</v>
      </c>
      <c r="G1714" s="47" t="s">
        <v>98</v>
      </c>
      <c r="H1714" s="57">
        <v>45348</v>
      </c>
      <c r="I1714" s="19">
        <v>800</v>
      </c>
      <c r="J1714" s="24" t="s">
        <v>20</v>
      </c>
      <c r="K1714" s="19"/>
    </row>
    <row r="1715" ht="31" customHeight="1" spans="1:11">
      <c r="A1715" s="19">
        <v>1711</v>
      </c>
      <c r="B1715" s="47" t="s">
        <v>1750</v>
      </c>
      <c r="C1715" s="47" t="s">
        <v>1810</v>
      </c>
      <c r="D1715" s="47" t="s">
        <v>1853</v>
      </c>
      <c r="E1715" s="32" t="s">
        <v>17</v>
      </c>
      <c r="F1715" s="47" t="s">
        <v>18</v>
      </c>
      <c r="G1715" s="47" t="s">
        <v>48</v>
      </c>
      <c r="H1715" s="57">
        <v>45348</v>
      </c>
      <c r="I1715" s="19">
        <v>800</v>
      </c>
      <c r="J1715" s="24" t="s">
        <v>20</v>
      </c>
      <c r="K1715" s="19"/>
    </row>
    <row r="1716" ht="31" customHeight="1" spans="1:11">
      <c r="A1716" s="19">
        <v>1712</v>
      </c>
      <c r="B1716" s="47" t="s">
        <v>1750</v>
      </c>
      <c r="C1716" s="47" t="s">
        <v>1810</v>
      </c>
      <c r="D1716" s="47" t="s">
        <v>1854</v>
      </c>
      <c r="E1716" s="32" t="s">
        <v>17</v>
      </c>
      <c r="F1716" s="47" t="s">
        <v>18</v>
      </c>
      <c r="G1716" s="47" t="s">
        <v>19</v>
      </c>
      <c r="H1716" s="57">
        <v>45339</v>
      </c>
      <c r="I1716" s="19">
        <v>600</v>
      </c>
      <c r="J1716" s="24" t="s">
        <v>20</v>
      </c>
      <c r="K1716" s="19"/>
    </row>
    <row r="1717" ht="31" customHeight="1" spans="1:11">
      <c r="A1717" s="19">
        <v>1713</v>
      </c>
      <c r="B1717" s="47" t="s">
        <v>1750</v>
      </c>
      <c r="C1717" s="47" t="s">
        <v>1810</v>
      </c>
      <c r="D1717" s="47" t="s">
        <v>1855</v>
      </c>
      <c r="E1717" s="32" t="s">
        <v>17</v>
      </c>
      <c r="F1717" s="47" t="s">
        <v>18</v>
      </c>
      <c r="G1717" s="47" t="s">
        <v>19</v>
      </c>
      <c r="H1717" s="57">
        <v>45339</v>
      </c>
      <c r="I1717" s="19">
        <v>600</v>
      </c>
      <c r="J1717" s="24" t="s">
        <v>20</v>
      </c>
      <c r="K1717" s="19"/>
    </row>
    <row r="1718" ht="31" customHeight="1" spans="1:11">
      <c r="A1718" s="19">
        <v>1714</v>
      </c>
      <c r="B1718" s="47" t="s">
        <v>1750</v>
      </c>
      <c r="C1718" s="47" t="s">
        <v>1810</v>
      </c>
      <c r="D1718" s="47" t="s">
        <v>1856</v>
      </c>
      <c r="E1718" s="32" t="s">
        <v>17</v>
      </c>
      <c r="F1718" s="47" t="s">
        <v>18</v>
      </c>
      <c r="G1718" s="47" t="s">
        <v>19</v>
      </c>
      <c r="H1718" s="57">
        <v>45461</v>
      </c>
      <c r="I1718" s="19">
        <v>600</v>
      </c>
      <c r="J1718" s="24" t="s">
        <v>20</v>
      </c>
      <c r="K1718" s="19"/>
    </row>
    <row r="1719" ht="31" customHeight="1" spans="1:11">
      <c r="A1719" s="19">
        <v>1715</v>
      </c>
      <c r="B1719" s="47" t="s">
        <v>1750</v>
      </c>
      <c r="C1719" s="47" t="s">
        <v>1810</v>
      </c>
      <c r="D1719" s="47" t="s">
        <v>1857</v>
      </c>
      <c r="E1719" s="32" t="s">
        <v>17</v>
      </c>
      <c r="F1719" s="47" t="s">
        <v>18</v>
      </c>
      <c r="G1719" s="47" t="s">
        <v>19</v>
      </c>
      <c r="H1719" s="58">
        <v>45352</v>
      </c>
      <c r="I1719" s="19">
        <v>600</v>
      </c>
      <c r="J1719" s="24" t="s">
        <v>20</v>
      </c>
      <c r="K1719" s="19"/>
    </row>
    <row r="1720" ht="31" customHeight="1" spans="1:11">
      <c r="A1720" s="19">
        <v>1716</v>
      </c>
      <c r="B1720" s="47" t="s">
        <v>1750</v>
      </c>
      <c r="C1720" s="47" t="s">
        <v>1810</v>
      </c>
      <c r="D1720" s="47" t="s">
        <v>1858</v>
      </c>
      <c r="E1720" s="32" t="s">
        <v>17</v>
      </c>
      <c r="F1720" s="47" t="s">
        <v>18</v>
      </c>
      <c r="G1720" s="47" t="s">
        <v>32</v>
      </c>
      <c r="H1720" s="58">
        <v>45323</v>
      </c>
      <c r="I1720" s="19">
        <v>800</v>
      </c>
      <c r="J1720" s="24" t="s">
        <v>20</v>
      </c>
      <c r="K1720" s="19"/>
    </row>
    <row r="1721" ht="31" customHeight="1" spans="1:11">
      <c r="A1721" s="19">
        <v>1717</v>
      </c>
      <c r="B1721" s="47" t="s">
        <v>1750</v>
      </c>
      <c r="C1721" s="47" t="s">
        <v>1810</v>
      </c>
      <c r="D1721" s="47" t="s">
        <v>1859</v>
      </c>
      <c r="E1721" s="32" t="s">
        <v>17</v>
      </c>
      <c r="F1721" s="47" t="s">
        <v>18</v>
      </c>
      <c r="G1721" s="47" t="s">
        <v>32</v>
      </c>
      <c r="H1721" s="57">
        <v>45379</v>
      </c>
      <c r="I1721" s="19">
        <v>800</v>
      </c>
      <c r="J1721" s="24" t="s">
        <v>20</v>
      </c>
      <c r="K1721" s="19"/>
    </row>
    <row r="1722" ht="31" customHeight="1" spans="1:11">
      <c r="A1722" s="19">
        <v>1718</v>
      </c>
      <c r="B1722" s="47" t="s">
        <v>1750</v>
      </c>
      <c r="C1722" s="47" t="s">
        <v>1810</v>
      </c>
      <c r="D1722" s="47" t="s">
        <v>1860</v>
      </c>
      <c r="E1722" s="32" t="s">
        <v>17</v>
      </c>
      <c r="F1722" s="47" t="s">
        <v>18</v>
      </c>
      <c r="G1722" s="47" t="s">
        <v>32</v>
      </c>
      <c r="H1722" s="57">
        <v>45379</v>
      </c>
      <c r="I1722" s="19">
        <v>800</v>
      </c>
      <c r="J1722" s="24" t="s">
        <v>20</v>
      </c>
      <c r="K1722" s="19"/>
    </row>
    <row r="1723" ht="31" customHeight="1" spans="1:11">
      <c r="A1723" s="19">
        <v>1719</v>
      </c>
      <c r="B1723" s="47" t="s">
        <v>1750</v>
      </c>
      <c r="C1723" s="47" t="s">
        <v>1810</v>
      </c>
      <c r="D1723" s="47" t="s">
        <v>1861</v>
      </c>
      <c r="E1723" s="32" t="s">
        <v>17</v>
      </c>
      <c r="F1723" s="47" t="s">
        <v>18</v>
      </c>
      <c r="G1723" s="47" t="s">
        <v>19</v>
      </c>
      <c r="H1723" s="57">
        <v>45348</v>
      </c>
      <c r="I1723" s="19">
        <v>600</v>
      </c>
      <c r="J1723" s="24" t="s">
        <v>20</v>
      </c>
      <c r="K1723" s="19"/>
    </row>
    <row r="1724" ht="31" customHeight="1" spans="1:11">
      <c r="A1724" s="19">
        <v>1720</v>
      </c>
      <c r="B1724" s="47" t="s">
        <v>1750</v>
      </c>
      <c r="C1724" s="47" t="s">
        <v>1810</v>
      </c>
      <c r="D1724" s="47" t="s">
        <v>1862</v>
      </c>
      <c r="E1724" s="32" t="s">
        <v>17</v>
      </c>
      <c r="F1724" s="47" t="s">
        <v>18</v>
      </c>
      <c r="G1724" s="47" t="s">
        <v>19</v>
      </c>
      <c r="H1724" s="57">
        <v>45348</v>
      </c>
      <c r="I1724" s="19">
        <v>600</v>
      </c>
      <c r="J1724" s="24" t="s">
        <v>20</v>
      </c>
      <c r="K1724" s="19"/>
    </row>
    <row r="1725" ht="31" customHeight="1" spans="1:11">
      <c r="A1725" s="19">
        <v>1721</v>
      </c>
      <c r="B1725" s="47" t="s">
        <v>1750</v>
      </c>
      <c r="C1725" s="47" t="s">
        <v>1810</v>
      </c>
      <c r="D1725" s="47" t="s">
        <v>1863</v>
      </c>
      <c r="E1725" s="32" t="s">
        <v>17</v>
      </c>
      <c r="F1725" s="47" t="s">
        <v>18</v>
      </c>
      <c r="G1725" s="47" t="s">
        <v>19</v>
      </c>
      <c r="H1725" s="57">
        <v>45383</v>
      </c>
      <c r="I1725" s="19">
        <v>600</v>
      </c>
      <c r="J1725" s="24" t="s">
        <v>20</v>
      </c>
      <c r="K1725" s="19"/>
    </row>
    <row r="1726" ht="31" customHeight="1" spans="1:11">
      <c r="A1726" s="19">
        <v>1722</v>
      </c>
      <c r="B1726" s="47" t="s">
        <v>1750</v>
      </c>
      <c r="C1726" s="47" t="s">
        <v>1810</v>
      </c>
      <c r="D1726" s="47" t="s">
        <v>1864</v>
      </c>
      <c r="E1726" s="32" t="s">
        <v>17</v>
      </c>
      <c r="F1726" s="47" t="s">
        <v>18</v>
      </c>
      <c r="G1726" s="47" t="s">
        <v>19</v>
      </c>
      <c r="H1726" s="57">
        <v>45352</v>
      </c>
      <c r="I1726" s="19">
        <v>600</v>
      </c>
      <c r="J1726" s="24" t="s">
        <v>20</v>
      </c>
      <c r="K1726" s="19"/>
    </row>
    <row r="1727" ht="31" customHeight="1" spans="1:11">
      <c r="A1727" s="19">
        <v>1723</v>
      </c>
      <c r="B1727" s="47" t="s">
        <v>1750</v>
      </c>
      <c r="C1727" s="47" t="s">
        <v>1810</v>
      </c>
      <c r="D1727" s="47" t="s">
        <v>1865</v>
      </c>
      <c r="E1727" s="32" t="s">
        <v>17</v>
      </c>
      <c r="F1727" s="47" t="s">
        <v>18</v>
      </c>
      <c r="G1727" s="47" t="s">
        <v>19</v>
      </c>
      <c r="H1727" s="57">
        <v>45340</v>
      </c>
      <c r="I1727" s="19">
        <v>600</v>
      </c>
      <c r="J1727" s="24" t="s">
        <v>20</v>
      </c>
      <c r="K1727" s="19"/>
    </row>
    <row r="1728" ht="31" customHeight="1" spans="1:11">
      <c r="A1728" s="19">
        <v>1724</v>
      </c>
      <c r="B1728" s="47" t="s">
        <v>1750</v>
      </c>
      <c r="C1728" s="47" t="s">
        <v>1810</v>
      </c>
      <c r="D1728" s="47" t="s">
        <v>1866</v>
      </c>
      <c r="E1728" s="32" t="s">
        <v>17</v>
      </c>
      <c r="F1728" s="47" t="s">
        <v>18</v>
      </c>
      <c r="G1728" s="47" t="s">
        <v>19</v>
      </c>
      <c r="H1728" s="57">
        <v>45336</v>
      </c>
      <c r="I1728" s="19">
        <v>600</v>
      </c>
      <c r="J1728" s="24" t="s">
        <v>20</v>
      </c>
      <c r="K1728" s="19"/>
    </row>
    <row r="1729" ht="31" customHeight="1" spans="1:11">
      <c r="A1729" s="19">
        <v>1725</v>
      </c>
      <c r="B1729" s="47" t="s">
        <v>1750</v>
      </c>
      <c r="C1729" s="47" t="s">
        <v>1810</v>
      </c>
      <c r="D1729" s="47" t="s">
        <v>1867</v>
      </c>
      <c r="E1729" s="32" t="s">
        <v>17</v>
      </c>
      <c r="F1729" s="47" t="s">
        <v>18</v>
      </c>
      <c r="G1729" s="47" t="s">
        <v>19</v>
      </c>
      <c r="H1729" s="57">
        <v>45347</v>
      </c>
      <c r="I1729" s="19">
        <v>600</v>
      </c>
      <c r="J1729" s="24" t="s">
        <v>20</v>
      </c>
      <c r="K1729" s="19"/>
    </row>
    <row r="1730" ht="31" customHeight="1" spans="1:11">
      <c r="A1730" s="19">
        <v>1726</v>
      </c>
      <c r="B1730" s="47" t="s">
        <v>1750</v>
      </c>
      <c r="C1730" s="47" t="s">
        <v>1810</v>
      </c>
      <c r="D1730" s="47" t="s">
        <v>1868</v>
      </c>
      <c r="E1730" s="32" t="s">
        <v>17</v>
      </c>
      <c r="F1730" s="47" t="s">
        <v>18</v>
      </c>
      <c r="G1730" s="47" t="s">
        <v>19</v>
      </c>
      <c r="H1730" s="57">
        <v>45339</v>
      </c>
      <c r="I1730" s="19">
        <v>600</v>
      </c>
      <c r="J1730" s="24" t="s">
        <v>20</v>
      </c>
      <c r="K1730" s="19"/>
    </row>
    <row r="1731" ht="31" customHeight="1" spans="1:11">
      <c r="A1731" s="19">
        <v>1727</v>
      </c>
      <c r="B1731" s="47" t="s">
        <v>1750</v>
      </c>
      <c r="C1731" s="47" t="s">
        <v>1810</v>
      </c>
      <c r="D1731" s="47" t="s">
        <v>1869</v>
      </c>
      <c r="E1731" s="32" t="s">
        <v>17</v>
      </c>
      <c r="F1731" s="47" t="s">
        <v>18</v>
      </c>
      <c r="G1731" s="47" t="s">
        <v>19</v>
      </c>
      <c r="H1731" s="57">
        <v>45338</v>
      </c>
      <c r="I1731" s="19">
        <v>600</v>
      </c>
      <c r="J1731" s="24" t="s">
        <v>20</v>
      </c>
      <c r="K1731" s="19"/>
    </row>
    <row r="1732" ht="31" customHeight="1" spans="1:11">
      <c r="A1732" s="19">
        <v>1728</v>
      </c>
      <c r="B1732" s="47" t="s">
        <v>1750</v>
      </c>
      <c r="C1732" s="47" t="s">
        <v>1810</v>
      </c>
      <c r="D1732" s="47" t="s">
        <v>1870</v>
      </c>
      <c r="E1732" s="32" t="s">
        <v>17</v>
      </c>
      <c r="F1732" s="47" t="s">
        <v>18</v>
      </c>
      <c r="G1732" s="47" t="s">
        <v>32</v>
      </c>
      <c r="H1732" s="57">
        <v>45292</v>
      </c>
      <c r="I1732" s="19">
        <v>800</v>
      </c>
      <c r="J1732" s="24" t="s">
        <v>20</v>
      </c>
      <c r="K1732" s="19"/>
    </row>
    <row r="1733" ht="31" customHeight="1" spans="1:11">
      <c r="A1733" s="19">
        <v>1729</v>
      </c>
      <c r="B1733" s="47" t="s">
        <v>1750</v>
      </c>
      <c r="C1733" s="47" t="s">
        <v>1810</v>
      </c>
      <c r="D1733" s="71" t="s">
        <v>1871</v>
      </c>
      <c r="E1733" s="32" t="s">
        <v>17</v>
      </c>
      <c r="F1733" s="71" t="s">
        <v>18</v>
      </c>
      <c r="G1733" s="47" t="s">
        <v>19</v>
      </c>
      <c r="H1733" s="57">
        <v>45383</v>
      </c>
      <c r="I1733" s="19">
        <v>600</v>
      </c>
      <c r="J1733" s="24" t="s">
        <v>20</v>
      </c>
      <c r="K1733" s="19"/>
    </row>
    <row r="1734" ht="31" customHeight="1" spans="1:11">
      <c r="A1734" s="19">
        <v>1730</v>
      </c>
      <c r="B1734" s="47" t="s">
        <v>1750</v>
      </c>
      <c r="C1734" s="47" t="s">
        <v>1810</v>
      </c>
      <c r="D1734" s="47" t="s">
        <v>1872</v>
      </c>
      <c r="E1734" s="32" t="s">
        <v>17</v>
      </c>
      <c r="F1734" s="47" t="s">
        <v>18</v>
      </c>
      <c r="G1734" s="47" t="s">
        <v>118</v>
      </c>
      <c r="H1734" s="57">
        <v>45478</v>
      </c>
      <c r="I1734" s="19">
        <v>800</v>
      </c>
      <c r="J1734" s="24" t="s">
        <v>20</v>
      </c>
      <c r="K1734" s="19"/>
    </row>
    <row r="1735" ht="31" customHeight="1" spans="1:11">
      <c r="A1735" s="19">
        <v>1731</v>
      </c>
      <c r="B1735" s="47" t="s">
        <v>1750</v>
      </c>
      <c r="C1735" s="47" t="s">
        <v>1810</v>
      </c>
      <c r="D1735" s="47" t="s">
        <v>1873</v>
      </c>
      <c r="E1735" s="32" t="s">
        <v>17</v>
      </c>
      <c r="F1735" s="47" t="s">
        <v>18</v>
      </c>
      <c r="G1735" s="47" t="s">
        <v>19</v>
      </c>
      <c r="H1735" s="57">
        <v>45342</v>
      </c>
      <c r="I1735" s="19">
        <v>600</v>
      </c>
      <c r="J1735" s="24" t="s">
        <v>20</v>
      </c>
      <c r="K1735" s="19"/>
    </row>
    <row r="1736" ht="31" customHeight="1" spans="1:11">
      <c r="A1736" s="19">
        <v>1732</v>
      </c>
      <c r="B1736" s="47" t="s">
        <v>1750</v>
      </c>
      <c r="C1736" s="47" t="s">
        <v>1810</v>
      </c>
      <c r="D1736" s="47" t="s">
        <v>1874</v>
      </c>
      <c r="E1736" s="32" t="s">
        <v>17</v>
      </c>
      <c r="F1736" s="47" t="s">
        <v>18</v>
      </c>
      <c r="G1736" s="47" t="s">
        <v>19</v>
      </c>
      <c r="H1736" s="57">
        <v>45347</v>
      </c>
      <c r="I1736" s="19">
        <v>600</v>
      </c>
      <c r="J1736" s="24" t="s">
        <v>20</v>
      </c>
      <c r="K1736" s="19"/>
    </row>
    <row r="1737" ht="31" customHeight="1" spans="1:11">
      <c r="A1737" s="19">
        <v>1733</v>
      </c>
      <c r="B1737" s="47" t="s">
        <v>1750</v>
      </c>
      <c r="C1737" s="47" t="s">
        <v>1810</v>
      </c>
      <c r="D1737" s="47" t="s">
        <v>1875</v>
      </c>
      <c r="E1737" s="32" t="s">
        <v>17</v>
      </c>
      <c r="F1737" s="47" t="s">
        <v>82</v>
      </c>
      <c r="G1737" s="47" t="s">
        <v>19</v>
      </c>
      <c r="H1737" s="57">
        <v>45343</v>
      </c>
      <c r="I1737" s="19">
        <v>300</v>
      </c>
      <c r="J1737" s="24" t="s">
        <v>20</v>
      </c>
      <c r="K1737" s="19"/>
    </row>
    <row r="1738" ht="31" customHeight="1" spans="1:11">
      <c r="A1738" s="19">
        <v>1734</v>
      </c>
      <c r="B1738" s="47" t="s">
        <v>1750</v>
      </c>
      <c r="C1738" s="47" t="s">
        <v>1810</v>
      </c>
      <c r="D1738" s="47" t="s">
        <v>1876</v>
      </c>
      <c r="E1738" s="32" t="s">
        <v>17</v>
      </c>
      <c r="F1738" s="47" t="s">
        <v>18</v>
      </c>
      <c r="G1738" s="47" t="s">
        <v>19</v>
      </c>
      <c r="H1738" s="57">
        <v>45361</v>
      </c>
      <c r="I1738" s="19">
        <v>600</v>
      </c>
      <c r="J1738" s="24" t="s">
        <v>20</v>
      </c>
      <c r="K1738" s="19"/>
    </row>
    <row r="1739" ht="31" customHeight="1" spans="1:11">
      <c r="A1739" s="19">
        <v>1735</v>
      </c>
      <c r="B1739" s="47" t="s">
        <v>1750</v>
      </c>
      <c r="C1739" s="47" t="s">
        <v>1810</v>
      </c>
      <c r="D1739" s="47" t="s">
        <v>1877</v>
      </c>
      <c r="E1739" s="32" t="s">
        <v>17</v>
      </c>
      <c r="F1739" s="47" t="s">
        <v>18</v>
      </c>
      <c r="G1739" s="47" t="s">
        <v>19</v>
      </c>
      <c r="H1739" s="57">
        <v>45341</v>
      </c>
      <c r="I1739" s="19">
        <v>600</v>
      </c>
      <c r="J1739" s="24" t="s">
        <v>20</v>
      </c>
      <c r="K1739" s="19"/>
    </row>
    <row r="1740" ht="31" customHeight="1" spans="1:11">
      <c r="A1740" s="19">
        <v>1736</v>
      </c>
      <c r="B1740" s="47" t="s">
        <v>1750</v>
      </c>
      <c r="C1740" s="47" t="s">
        <v>1810</v>
      </c>
      <c r="D1740" s="47" t="s">
        <v>1878</v>
      </c>
      <c r="E1740" s="32" t="s">
        <v>17</v>
      </c>
      <c r="F1740" s="47" t="s">
        <v>18</v>
      </c>
      <c r="G1740" s="47" t="s">
        <v>19</v>
      </c>
      <c r="H1740" s="57">
        <v>45337</v>
      </c>
      <c r="I1740" s="19">
        <v>600</v>
      </c>
      <c r="J1740" s="24" t="s">
        <v>20</v>
      </c>
      <c r="K1740" s="19"/>
    </row>
    <row r="1741" ht="31" customHeight="1" spans="1:11">
      <c r="A1741" s="19">
        <v>1737</v>
      </c>
      <c r="B1741" s="47" t="s">
        <v>1750</v>
      </c>
      <c r="C1741" s="47" t="s">
        <v>1810</v>
      </c>
      <c r="D1741" s="47" t="s">
        <v>1879</v>
      </c>
      <c r="E1741" s="32" t="s">
        <v>17</v>
      </c>
      <c r="F1741" s="47" t="s">
        <v>18</v>
      </c>
      <c r="G1741" s="47" t="s">
        <v>19</v>
      </c>
      <c r="H1741" s="57">
        <v>45337</v>
      </c>
      <c r="I1741" s="19">
        <v>600</v>
      </c>
      <c r="J1741" s="24" t="s">
        <v>20</v>
      </c>
      <c r="K1741" s="19"/>
    </row>
    <row r="1742" ht="31" customHeight="1" spans="1:11">
      <c r="A1742" s="19">
        <v>1738</v>
      </c>
      <c r="B1742" s="47" t="s">
        <v>1750</v>
      </c>
      <c r="C1742" s="47" t="s">
        <v>1810</v>
      </c>
      <c r="D1742" s="47" t="s">
        <v>1880</v>
      </c>
      <c r="E1742" s="32" t="s">
        <v>17</v>
      </c>
      <c r="F1742" s="47" t="s">
        <v>18</v>
      </c>
      <c r="G1742" s="47" t="s">
        <v>19</v>
      </c>
      <c r="H1742" s="57">
        <v>45337</v>
      </c>
      <c r="I1742" s="19">
        <v>600</v>
      </c>
      <c r="J1742" s="24" t="s">
        <v>20</v>
      </c>
      <c r="K1742" s="19"/>
    </row>
    <row r="1743" ht="31" customHeight="1" spans="1:11">
      <c r="A1743" s="19">
        <v>1739</v>
      </c>
      <c r="B1743" s="47" t="s">
        <v>1750</v>
      </c>
      <c r="C1743" s="47" t="s">
        <v>706</v>
      </c>
      <c r="D1743" s="47" t="s">
        <v>1881</v>
      </c>
      <c r="E1743" s="32" t="s">
        <v>17</v>
      </c>
      <c r="F1743" s="47" t="s">
        <v>18</v>
      </c>
      <c r="G1743" s="47" t="s">
        <v>38</v>
      </c>
      <c r="H1743" s="57">
        <v>45352</v>
      </c>
      <c r="I1743" s="19">
        <v>600</v>
      </c>
      <c r="J1743" s="24" t="s">
        <v>20</v>
      </c>
      <c r="K1743" s="19"/>
    </row>
    <row r="1744" ht="31" customHeight="1" spans="1:11">
      <c r="A1744" s="19">
        <v>1740</v>
      </c>
      <c r="B1744" s="47" t="s">
        <v>1750</v>
      </c>
      <c r="C1744" s="47" t="s">
        <v>1810</v>
      </c>
      <c r="D1744" s="47" t="s">
        <v>1882</v>
      </c>
      <c r="E1744" s="32" t="s">
        <v>17</v>
      </c>
      <c r="F1744" s="47" t="s">
        <v>18</v>
      </c>
      <c r="G1744" s="47" t="s">
        <v>19</v>
      </c>
      <c r="H1744" s="57">
        <v>45413</v>
      </c>
      <c r="I1744" s="19">
        <v>600</v>
      </c>
      <c r="J1744" s="24" t="s">
        <v>20</v>
      </c>
      <c r="K1744" s="19"/>
    </row>
    <row r="1745" ht="31" customHeight="1" spans="1:11">
      <c r="A1745" s="19">
        <v>1741</v>
      </c>
      <c r="B1745" s="47" t="s">
        <v>1750</v>
      </c>
      <c r="C1745" s="47" t="s">
        <v>1810</v>
      </c>
      <c r="D1745" s="47" t="s">
        <v>1883</v>
      </c>
      <c r="E1745" s="32" t="s">
        <v>17</v>
      </c>
      <c r="F1745" s="47" t="s">
        <v>18</v>
      </c>
      <c r="G1745" s="47" t="s">
        <v>55</v>
      </c>
      <c r="H1745" s="58">
        <v>45474</v>
      </c>
      <c r="I1745" s="19">
        <v>800</v>
      </c>
      <c r="J1745" s="24" t="s">
        <v>20</v>
      </c>
      <c r="K1745" s="19"/>
    </row>
    <row r="1746" ht="31" customHeight="1" spans="1:11">
      <c r="A1746" s="19">
        <v>1742</v>
      </c>
      <c r="B1746" s="47" t="s">
        <v>1750</v>
      </c>
      <c r="C1746" s="47" t="s">
        <v>1810</v>
      </c>
      <c r="D1746" s="47" t="s">
        <v>1884</v>
      </c>
      <c r="E1746" s="32" t="s">
        <v>17</v>
      </c>
      <c r="F1746" s="47" t="s">
        <v>18</v>
      </c>
      <c r="G1746" s="47" t="s">
        <v>19</v>
      </c>
      <c r="H1746" s="57">
        <v>45348</v>
      </c>
      <c r="I1746" s="19">
        <v>600</v>
      </c>
      <c r="J1746" s="24" t="s">
        <v>20</v>
      </c>
      <c r="K1746" s="19"/>
    </row>
    <row r="1747" ht="31" customHeight="1" spans="1:11">
      <c r="A1747" s="19">
        <v>1743</v>
      </c>
      <c r="B1747" s="47" t="s">
        <v>1750</v>
      </c>
      <c r="C1747" s="47" t="s">
        <v>1810</v>
      </c>
      <c r="D1747" s="47" t="s">
        <v>1885</v>
      </c>
      <c r="E1747" s="32" t="s">
        <v>17</v>
      </c>
      <c r="F1747" s="47" t="s">
        <v>18</v>
      </c>
      <c r="G1747" s="73" t="s">
        <v>29</v>
      </c>
      <c r="H1747" s="57">
        <v>45348</v>
      </c>
      <c r="I1747" s="19">
        <v>800</v>
      </c>
      <c r="J1747" s="24" t="s">
        <v>20</v>
      </c>
      <c r="K1747" s="19"/>
    </row>
    <row r="1748" ht="31" customHeight="1" spans="1:11">
      <c r="A1748" s="19">
        <v>1744</v>
      </c>
      <c r="B1748" s="47" t="s">
        <v>1750</v>
      </c>
      <c r="C1748" s="47" t="s">
        <v>1810</v>
      </c>
      <c r="D1748" s="47" t="s">
        <v>1886</v>
      </c>
      <c r="E1748" s="32" t="s">
        <v>17</v>
      </c>
      <c r="F1748" s="47" t="s">
        <v>18</v>
      </c>
      <c r="G1748" s="47" t="s">
        <v>19</v>
      </c>
      <c r="H1748" s="58">
        <v>45292</v>
      </c>
      <c r="I1748" s="19">
        <v>600</v>
      </c>
      <c r="J1748" s="24" t="s">
        <v>20</v>
      </c>
      <c r="K1748" s="19"/>
    </row>
    <row r="1749" ht="31" customHeight="1" spans="1:11">
      <c r="A1749" s="19">
        <v>1745</v>
      </c>
      <c r="B1749" s="47" t="s">
        <v>1750</v>
      </c>
      <c r="C1749" s="47" t="s">
        <v>1810</v>
      </c>
      <c r="D1749" s="47" t="s">
        <v>1887</v>
      </c>
      <c r="E1749" s="32" t="s">
        <v>17</v>
      </c>
      <c r="F1749" s="47" t="s">
        <v>18</v>
      </c>
      <c r="G1749" s="47" t="s">
        <v>29</v>
      </c>
      <c r="H1749" s="58">
        <v>45292</v>
      </c>
      <c r="I1749" s="19">
        <v>800</v>
      </c>
      <c r="J1749" s="24" t="s">
        <v>20</v>
      </c>
      <c r="K1749" s="19"/>
    </row>
    <row r="1750" ht="31" customHeight="1" spans="1:11">
      <c r="A1750" s="19">
        <v>1746</v>
      </c>
      <c r="B1750" s="47" t="s">
        <v>1750</v>
      </c>
      <c r="C1750" s="47" t="s">
        <v>1810</v>
      </c>
      <c r="D1750" s="47" t="s">
        <v>1888</v>
      </c>
      <c r="E1750" s="32" t="s">
        <v>17</v>
      </c>
      <c r="F1750" s="47" t="s">
        <v>18</v>
      </c>
      <c r="G1750" s="47" t="s">
        <v>29</v>
      </c>
      <c r="H1750" s="58">
        <v>45323</v>
      </c>
      <c r="I1750" s="19">
        <v>800</v>
      </c>
      <c r="J1750" s="24" t="s">
        <v>20</v>
      </c>
      <c r="K1750" s="19"/>
    </row>
    <row r="1751" ht="31" customHeight="1" spans="1:11">
      <c r="A1751" s="19">
        <v>1747</v>
      </c>
      <c r="B1751" s="47" t="s">
        <v>1750</v>
      </c>
      <c r="C1751" s="47" t="s">
        <v>1810</v>
      </c>
      <c r="D1751" s="47" t="s">
        <v>1889</v>
      </c>
      <c r="E1751" s="32" t="s">
        <v>17</v>
      </c>
      <c r="F1751" s="47" t="s">
        <v>18</v>
      </c>
      <c r="G1751" s="47" t="s">
        <v>19</v>
      </c>
      <c r="H1751" s="57">
        <v>45474</v>
      </c>
      <c r="I1751" s="19">
        <v>600</v>
      </c>
      <c r="J1751" s="24" t="s">
        <v>20</v>
      </c>
      <c r="K1751" s="19"/>
    </row>
    <row r="1752" ht="31" customHeight="1" spans="1:11">
      <c r="A1752" s="19">
        <v>1748</v>
      </c>
      <c r="B1752" s="47" t="s">
        <v>1750</v>
      </c>
      <c r="C1752" s="47" t="s">
        <v>1810</v>
      </c>
      <c r="D1752" s="47" t="s">
        <v>1890</v>
      </c>
      <c r="E1752" s="32" t="s">
        <v>17</v>
      </c>
      <c r="F1752" s="47" t="s">
        <v>18</v>
      </c>
      <c r="G1752" s="47" t="s">
        <v>19</v>
      </c>
      <c r="H1752" s="57">
        <v>45474</v>
      </c>
      <c r="I1752" s="19">
        <v>600</v>
      </c>
      <c r="J1752" s="24" t="s">
        <v>20</v>
      </c>
      <c r="K1752" s="19"/>
    </row>
    <row r="1753" ht="31" customHeight="1" spans="1:11">
      <c r="A1753" s="19">
        <v>1749</v>
      </c>
      <c r="B1753" s="47" t="s">
        <v>1750</v>
      </c>
      <c r="C1753" s="47" t="s">
        <v>1810</v>
      </c>
      <c r="D1753" s="47" t="s">
        <v>1891</v>
      </c>
      <c r="E1753" s="32" t="s">
        <v>17</v>
      </c>
      <c r="F1753" s="47" t="s">
        <v>18</v>
      </c>
      <c r="G1753" s="47" t="s">
        <v>19</v>
      </c>
      <c r="H1753" s="57">
        <v>45345</v>
      </c>
      <c r="I1753" s="19">
        <v>600</v>
      </c>
      <c r="J1753" s="24" t="s">
        <v>20</v>
      </c>
      <c r="K1753" s="19"/>
    </row>
    <row r="1754" ht="31" customHeight="1" spans="1:11">
      <c r="A1754" s="19">
        <v>1750</v>
      </c>
      <c r="B1754" s="47" t="s">
        <v>1750</v>
      </c>
      <c r="C1754" s="47" t="s">
        <v>1810</v>
      </c>
      <c r="D1754" s="47" t="s">
        <v>1892</v>
      </c>
      <c r="E1754" s="32" t="s">
        <v>17</v>
      </c>
      <c r="F1754" s="47" t="s">
        <v>18</v>
      </c>
      <c r="G1754" s="47" t="s">
        <v>19</v>
      </c>
      <c r="H1754" s="57">
        <v>45357</v>
      </c>
      <c r="I1754" s="19">
        <v>600</v>
      </c>
      <c r="J1754" s="24" t="s">
        <v>20</v>
      </c>
      <c r="K1754" s="19"/>
    </row>
    <row r="1755" ht="31" customHeight="1" spans="1:11">
      <c r="A1755" s="19">
        <v>1751</v>
      </c>
      <c r="B1755" s="47" t="s">
        <v>1750</v>
      </c>
      <c r="C1755" s="47" t="s">
        <v>1810</v>
      </c>
      <c r="D1755" s="47" t="s">
        <v>1893</v>
      </c>
      <c r="E1755" s="32" t="s">
        <v>17</v>
      </c>
      <c r="F1755" s="47" t="s">
        <v>18</v>
      </c>
      <c r="G1755" s="47" t="s">
        <v>19</v>
      </c>
      <c r="H1755" s="57">
        <v>45422</v>
      </c>
      <c r="I1755" s="19">
        <v>600</v>
      </c>
      <c r="J1755" s="24" t="s">
        <v>20</v>
      </c>
      <c r="K1755" s="19"/>
    </row>
    <row r="1756" ht="31" customHeight="1" spans="1:11">
      <c r="A1756" s="19">
        <v>1752</v>
      </c>
      <c r="B1756" s="47" t="s">
        <v>1750</v>
      </c>
      <c r="C1756" s="47" t="s">
        <v>1810</v>
      </c>
      <c r="D1756" s="47" t="s">
        <v>1894</v>
      </c>
      <c r="E1756" s="32" t="s">
        <v>17</v>
      </c>
      <c r="F1756" s="47" t="s">
        <v>18</v>
      </c>
      <c r="G1756" s="47" t="s">
        <v>32</v>
      </c>
      <c r="H1756" s="57">
        <v>45352</v>
      </c>
      <c r="I1756" s="19">
        <v>800</v>
      </c>
      <c r="J1756" s="24" t="s">
        <v>20</v>
      </c>
      <c r="K1756" s="19"/>
    </row>
    <row r="1757" ht="31" customHeight="1" spans="1:11">
      <c r="A1757" s="19">
        <v>1753</v>
      </c>
      <c r="B1757" s="47" t="s">
        <v>1750</v>
      </c>
      <c r="C1757" s="47" t="s">
        <v>1810</v>
      </c>
      <c r="D1757" s="47" t="s">
        <v>1895</v>
      </c>
      <c r="E1757" s="32" t="s">
        <v>17</v>
      </c>
      <c r="F1757" s="47" t="s">
        <v>18</v>
      </c>
      <c r="G1757" s="47" t="s">
        <v>32</v>
      </c>
      <c r="H1757" s="57">
        <v>45347</v>
      </c>
      <c r="I1757" s="19">
        <v>800</v>
      </c>
      <c r="J1757" s="24" t="s">
        <v>20</v>
      </c>
      <c r="K1757" s="19"/>
    </row>
    <row r="1758" ht="31" customHeight="1" spans="1:11">
      <c r="A1758" s="19">
        <v>1754</v>
      </c>
      <c r="B1758" s="47" t="s">
        <v>1750</v>
      </c>
      <c r="C1758" s="47" t="s">
        <v>1810</v>
      </c>
      <c r="D1758" s="47" t="s">
        <v>1896</v>
      </c>
      <c r="E1758" s="32" t="s">
        <v>17</v>
      </c>
      <c r="F1758" s="47" t="s">
        <v>18</v>
      </c>
      <c r="G1758" s="47" t="s">
        <v>19</v>
      </c>
      <c r="H1758" s="57">
        <v>45292</v>
      </c>
      <c r="I1758" s="19">
        <v>600</v>
      </c>
      <c r="J1758" s="24" t="s">
        <v>20</v>
      </c>
      <c r="K1758" s="19"/>
    </row>
    <row r="1759" ht="31" customHeight="1" spans="1:11">
      <c r="A1759" s="19">
        <v>1755</v>
      </c>
      <c r="B1759" s="47" t="s">
        <v>1750</v>
      </c>
      <c r="C1759" s="47" t="s">
        <v>1810</v>
      </c>
      <c r="D1759" s="47" t="s">
        <v>1897</v>
      </c>
      <c r="E1759" s="32" t="s">
        <v>17</v>
      </c>
      <c r="F1759" s="47" t="s">
        <v>18</v>
      </c>
      <c r="G1759" s="47" t="s">
        <v>19</v>
      </c>
      <c r="H1759" s="57">
        <v>45338</v>
      </c>
      <c r="I1759" s="19">
        <v>600</v>
      </c>
      <c r="J1759" s="24" t="s">
        <v>20</v>
      </c>
      <c r="K1759" s="19"/>
    </row>
    <row r="1760" ht="31" customHeight="1" spans="1:11">
      <c r="A1760" s="19">
        <v>1756</v>
      </c>
      <c r="B1760" s="47" t="s">
        <v>1750</v>
      </c>
      <c r="C1760" s="47" t="s">
        <v>1810</v>
      </c>
      <c r="D1760" s="47" t="s">
        <v>1898</v>
      </c>
      <c r="E1760" s="32" t="s">
        <v>17</v>
      </c>
      <c r="F1760" s="47" t="s">
        <v>18</v>
      </c>
      <c r="G1760" s="47" t="s">
        <v>19</v>
      </c>
      <c r="H1760" s="57">
        <v>45335</v>
      </c>
      <c r="I1760" s="19">
        <v>600</v>
      </c>
      <c r="J1760" s="24" t="s">
        <v>20</v>
      </c>
      <c r="K1760" s="19"/>
    </row>
    <row r="1761" ht="31" customHeight="1" spans="1:11">
      <c r="A1761" s="19">
        <v>1757</v>
      </c>
      <c r="B1761" s="19" t="s">
        <v>1899</v>
      </c>
      <c r="C1761" s="19" t="s">
        <v>1900</v>
      </c>
      <c r="D1761" s="19" t="s">
        <v>1901</v>
      </c>
      <c r="E1761" s="31" t="s">
        <v>17</v>
      </c>
      <c r="F1761" s="19" t="s">
        <v>18</v>
      </c>
      <c r="G1761" s="19" t="s">
        <v>19</v>
      </c>
      <c r="H1761" s="37">
        <v>45323</v>
      </c>
      <c r="I1761" s="19">
        <f>IF(F1761="是",VLOOKUP(G1761,[286]Sheet2!A:C,3,FALSE),VLOOKUP(G1761,[286]Sheet2!A:B,2,FALSE))</f>
        <v>600</v>
      </c>
      <c r="J1761" s="24" t="s">
        <v>20</v>
      </c>
      <c r="K1761" s="19"/>
    </row>
    <row r="1762" ht="31" customHeight="1" spans="1:11">
      <c r="A1762" s="19">
        <v>1758</v>
      </c>
      <c r="B1762" s="19" t="s">
        <v>1899</v>
      </c>
      <c r="C1762" s="19" t="s">
        <v>1902</v>
      </c>
      <c r="D1762" s="19" t="s">
        <v>1903</v>
      </c>
      <c r="E1762" s="31" t="s">
        <v>17</v>
      </c>
      <c r="F1762" s="19" t="s">
        <v>18</v>
      </c>
      <c r="G1762" s="19" t="s">
        <v>19</v>
      </c>
      <c r="H1762" s="37">
        <v>45323</v>
      </c>
      <c r="I1762" s="19">
        <f>IF(F1762="是",VLOOKUP(G1762,[286]Sheet2!A:C,3,FALSE),VLOOKUP(G1762,[286]Sheet2!A:B,2,FALSE))</f>
        <v>600</v>
      </c>
      <c r="J1762" s="24" t="s">
        <v>20</v>
      </c>
      <c r="K1762" s="19"/>
    </row>
    <row r="1763" ht="31" customHeight="1" spans="1:11">
      <c r="A1763" s="19">
        <v>1759</v>
      </c>
      <c r="B1763" s="19" t="s">
        <v>1899</v>
      </c>
      <c r="C1763" s="19" t="s">
        <v>1902</v>
      </c>
      <c r="D1763" s="19" t="s">
        <v>1904</v>
      </c>
      <c r="E1763" s="31" t="s">
        <v>17</v>
      </c>
      <c r="F1763" s="19" t="s">
        <v>18</v>
      </c>
      <c r="G1763" s="19" t="s">
        <v>19</v>
      </c>
      <c r="H1763" s="37">
        <v>45474</v>
      </c>
      <c r="I1763" s="19">
        <f>IF(F1763="是",VLOOKUP(G1763,[286]Sheet2!A:C,3,FALSE),VLOOKUP(G1763,[286]Sheet2!A:B,2,FALSE))</f>
        <v>600</v>
      </c>
      <c r="J1763" s="24" t="s">
        <v>20</v>
      </c>
      <c r="K1763" s="19"/>
    </row>
    <row r="1764" ht="31" customHeight="1" spans="1:11">
      <c r="A1764" s="19">
        <v>1760</v>
      </c>
      <c r="B1764" s="19" t="s">
        <v>1899</v>
      </c>
      <c r="C1764" s="19" t="s">
        <v>1905</v>
      </c>
      <c r="D1764" s="19" t="s">
        <v>1906</v>
      </c>
      <c r="E1764" s="31" t="s">
        <v>17</v>
      </c>
      <c r="F1764" s="19" t="s">
        <v>18</v>
      </c>
      <c r="G1764" s="19" t="s">
        <v>19</v>
      </c>
      <c r="H1764" s="37">
        <v>45352</v>
      </c>
      <c r="I1764" s="19">
        <f>IF(F1764="是",VLOOKUP(G1764,[286]Sheet2!A:C,3,FALSE),VLOOKUP(G1764,[286]Sheet2!A:B,2,FALSE))</f>
        <v>600</v>
      </c>
      <c r="J1764" s="24" t="s">
        <v>20</v>
      </c>
      <c r="K1764" s="19"/>
    </row>
    <row r="1765" ht="31" customHeight="1" spans="1:11">
      <c r="A1765" s="19">
        <v>1761</v>
      </c>
      <c r="B1765" s="19" t="s">
        <v>1899</v>
      </c>
      <c r="C1765" s="19" t="s">
        <v>1907</v>
      </c>
      <c r="D1765" s="19" t="s">
        <v>1908</v>
      </c>
      <c r="E1765" s="31" t="s">
        <v>17</v>
      </c>
      <c r="F1765" s="19" t="s">
        <v>18</v>
      </c>
      <c r="G1765" s="19" t="s">
        <v>19</v>
      </c>
      <c r="H1765" s="37">
        <v>45292</v>
      </c>
      <c r="I1765" s="19">
        <f>IF(F1765="是",VLOOKUP(G1765,[286]Sheet2!A:C,3,FALSE),VLOOKUP(G1765,[286]Sheet2!A:B,2,FALSE))</f>
        <v>600</v>
      </c>
      <c r="J1765" s="24" t="s">
        <v>20</v>
      </c>
      <c r="K1765" s="19"/>
    </row>
    <row r="1766" ht="31" customHeight="1" spans="1:11">
      <c r="A1766" s="19">
        <v>1762</v>
      </c>
      <c r="B1766" s="19" t="s">
        <v>1899</v>
      </c>
      <c r="C1766" s="19" t="s">
        <v>1909</v>
      </c>
      <c r="D1766" s="19" t="s">
        <v>1910</v>
      </c>
      <c r="E1766" s="31" t="s">
        <v>577</v>
      </c>
      <c r="F1766" s="19" t="s">
        <v>18</v>
      </c>
      <c r="G1766" s="19" t="s">
        <v>19</v>
      </c>
      <c r="H1766" s="37">
        <v>45352</v>
      </c>
      <c r="I1766" s="19">
        <f>IF(F1766="是",VLOOKUP(G1766,[286]Sheet2!A:C,3,FALSE),VLOOKUP(G1766,[286]Sheet2!A:B,2,FALSE))</f>
        <v>600</v>
      </c>
      <c r="J1766" s="24" t="s">
        <v>20</v>
      </c>
      <c r="K1766" s="19"/>
    </row>
    <row r="1767" ht="31" customHeight="1" spans="1:11">
      <c r="A1767" s="19">
        <v>1763</v>
      </c>
      <c r="B1767" s="19" t="s">
        <v>1899</v>
      </c>
      <c r="C1767" s="19" t="s">
        <v>1902</v>
      </c>
      <c r="D1767" s="19" t="s">
        <v>1911</v>
      </c>
      <c r="E1767" s="31" t="s">
        <v>17</v>
      </c>
      <c r="F1767" s="19" t="s">
        <v>18</v>
      </c>
      <c r="G1767" s="19" t="s">
        <v>19</v>
      </c>
      <c r="H1767" s="37">
        <v>45474</v>
      </c>
      <c r="I1767" s="19">
        <f>IF(F1767="是",VLOOKUP(G1767,[286]Sheet2!A:C,3,FALSE),VLOOKUP(G1767,[286]Sheet2!A:B,2,FALSE))</f>
        <v>600</v>
      </c>
      <c r="J1767" s="24" t="s">
        <v>20</v>
      </c>
      <c r="K1767" s="19"/>
    </row>
    <row r="1768" ht="31" customHeight="1" spans="1:11">
      <c r="A1768" s="19">
        <v>1764</v>
      </c>
      <c r="B1768" s="19" t="s">
        <v>1899</v>
      </c>
      <c r="C1768" s="19" t="s">
        <v>1907</v>
      </c>
      <c r="D1768" s="19" t="s">
        <v>1912</v>
      </c>
      <c r="E1768" s="31" t="s">
        <v>17</v>
      </c>
      <c r="F1768" s="19" t="s">
        <v>18</v>
      </c>
      <c r="G1768" s="19" t="s">
        <v>19</v>
      </c>
      <c r="H1768" s="37">
        <v>45323</v>
      </c>
      <c r="I1768" s="19">
        <f>IF(F1768="是",VLOOKUP(G1768,[286]Sheet2!A:C,3,FALSE),VLOOKUP(G1768,[286]Sheet2!A:B,2,FALSE))</f>
        <v>600</v>
      </c>
      <c r="J1768" s="24" t="s">
        <v>20</v>
      </c>
      <c r="K1768" s="19"/>
    </row>
    <row r="1769" ht="31" customHeight="1" spans="1:11">
      <c r="A1769" s="19">
        <v>1765</v>
      </c>
      <c r="B1769" s="19" t="s">
        <v>1899</v>
      </c>
      <c r="C1769" s="19" t="s">
        <v>1913</v>
      </c>
      <c r="D1769" s="19" t="s">
        <v>1914</v>
      </c>
      <c r="E1769" s="31" t="s">
        <v>17</v>
      </c>
      <c r="F1769" s="19" t="s">
        <v>18</v>
      </c>
      <c r="G1769" s="19" t="s">
        <v>19</v>
      </c>
      <c r="H1769" s="37">
        <v>45352</v>
      </c>
      <c r="I1769" s="19">
        <f>IF(F1769="是",VLOOKUP(G1769,[286]Sheet2!A:C,3,FALSE),VLOOKUP(G1769,[286]Sheet2!A:B,2,FALSE))</f>
        <v>600</v>
      </c>
      <c r="J1769" s="24" t="s">
        <v>20</v>
      </c>
      <c r="K1769" s="19"/>
    </row>
    <row r="1770" ht="31" customHeight="1" spans="1:11">
      <c r="A1770" s="19">
        <v>1766</v>
      </c>
      <c r="B1770" s="19" t="s">
        <v>1899</v>
      </c>
      <c r="C1770" s="19" t="s">
        <v>1913</v>
      </c>
      <c r="D1770" s="19" t="s">
        <v>1915</v>
      </c>
      <c r="E1770" s="31" t="s">
        <v>17</v>
      </c>
      <c r="F1770" s="19" t="s">
        <v>18</v>
      </c>
      <c r="G1770" s="19" t="s">
        <v>19</v>
      </c>
      <c r="H1770" s="37">
        <v>45352</v>
      </c>
      <c r="I1770" s="19">
        <f>IF(F1770="是",VLOOKUP(G1770,[286]Sheet2!A:C,3,FALSE),VLOOKUP(G1770,[286]Sheet2!A:B,2,FALSE))</f>
        <v>600</v>
      </c>
      <c r="J1770" s="24" t="s">
        <v>20</v>
      </c>
      <c r="K1770" s="19"/>
    </row>
    <row r="1771" ht="31" customHeight="1" spans="1:11">
      <c r="A1771" s="19">
        <v>1767</v>
      </c>
      <c r="B1771" s="19" t="s">
        <v>1899</v>
      </c>
      <c r="C1771" s="19" t="s">
        <v>1902</v>
      </c>
      <c r="D1771" s="19" t="s">
        <v>1916</v>
      </c>
      <c r="E1771" s="31" t="s">
        <v>17</v>
      </c>
      <c r="F1771" s="19" t="s">
        <v>18</v>
      </c>
      <c r="G1771" s="19" t="s">
        <v>19</v>
      </c>
      <c r="H1771" s="37">
        <v>45323</v>
      </c>
      <c r="I1771" s="19">
        <f>IF(F1771="是",VLOOKUP(G1771,[286]Sheet2!A:C,3,FALSE),VLOOKUP(G1771,[286]Sheet2!A:B,2,FALSE))</f>
        <v>600</v>
      </c>
      <c r="J1771" s="24" t="s">
        <v>20</v>
      </c>
      <c r="K1771" s="19"/>
    </row>
    <row r="1772" ht="31" customHeight="1" spans="1:11">
      <c r="A1772" s="19">
        <v>1768</v>
      </c>
      <c r="B1772" s="19" t="s">
        <v>1899</v>
      </c>
      <c r="C1772" s="19" t="s">
        <v>1902</v>
      </c>
      <c r="D1772" s="19" t="s">
        <v>1917</v>
      </c>
      <c r="E1772" s="31" t="s">
        <v>17</v>
      </c>
      <c r="F1772" s="19" t="s">
        <v>18</v>
      </c>
      <c r="G1772" s="19" t="s">
        <v>98</v>
      </c>
      <c r="H1772" s="37">
        <v>45292</v>
      </c>
      <c r="I1772" s="19">
        <f>IF(F1772="是",VLOOKUP(G1772,[286]Sheet2!A:C,3,FALSE),VLOOKUP(G1772,[286]Sheet2!A:B,2,FALSE))</f>
        <v>800</v>
      </c>
      <c r="J1772" s="24" t="s">
        <v>20</v>
      </c>
      <c r="K1772" s="19"/>
    </row>
    <row r="1773" ht="31" customHeight="1" spans="1:11">
      <c r="A1773" s="19">
        <v>1769</v>
      </c>
      <c r="B1773" s="19" t="s">
        <v>1899</v>
      </c>
      <c r="C1773" s="19" t="s">
        <v>1913</v>
      </c>
      <c r="D1773" s="19" t="s">
        <v>1918</v>
      </c>
      <c r="E1773" s="31" t="s">
        <v>17</v>
      </c>
      <c r="F1773" s="19" t="s">
        <v>18</v>
      </c>
      <c r="G1773" s="19" t="s">
        <v>19</v>
      </c>
      <c r="H1773" s="37">
        <v>45352</v>
      </c>
      <c r="I1773" s="19">
        <f>IF(F1773="是",VLOOKUP(G1773,[286]Sheet2!A:C,3,FALSE),VLOOKUP(G1773,[286]Sheet2!A:B,2,FALSE))</f>
        <v>600</v>
      </c>
      <c r="J1773" s="24" t="s">
        <v>20</v>
      </c>
      <c r="K1773" s="19"/>
    </row>
    <row r="1774" ht="31" customHeight="1" spans="1:11">
      <c r="A1774" s="19">
        <v>1770</v>
      </c>
      <c r="B1774" s="19" t="s">
        <v>1899</v>
      </c>
      <c r="C1774" s="19" t="s">
        <v>1909</v>
      </c>
      <c r="D1774" s="19" t="s">
        <v>1919</v>
      </c>
      <c r="E1774" s="31" t="s">
        <v>17</v>
      </c>
      <c r="F1774" s="19" t="s">
        <v>18</v>
      </c>
      <c r="G1774" s="19" t="s">
        <v>19</v>
      </c>
      <c r="H1774" s="37">
        <v>45323</v>
      </c>
      <c r="I1774" s="19">
        <f>IF(F1774="是",VLOOKUP(G1774,[286]Sheet2!A:C,3,FALSE),VLOOKUP(G1774,[286]Sheet2!A:B,2,FALSE))</f>
        <v>600</v>
      </c>
      <c r="J1774" s="24" t="s">
        <v>20</v>
      </c>
      <c r="K1774" s="19"/>
    </row>
    <row r="1775" ht="31" customHeight="1" spans="1:11">
      <c r="A1775" s="19">
        <v>1771</v>
      </c>
      <c r="B1775" s="19" t="s">
        <v>1899</v>
      </c>
      <c r="C1775" s="19" t="s">
        <v>1920</v>
      </c>
      <c r="D1775" s="19" t="s">
        <v>1921</v>
      </c>
      <c r="E1775" s="31" t="s">
        <v>17</v>
      </c>
      <c r="F1775" s="19" t="s">
        <v>18</v>
      </c>
      <c r="G1775" s="19" t="s">
        <v>32</v>
      </c>
      <c r="H1775" s="37">
        <v>45292</v>
      </c>
      <c r="I1775" s="19">
        <f>IF(F1775="是",VLOOKUP(G1775,[286]Sheet2!A:C,3,FALSE),VLOOKUP(G1775,[286]Sheet2!A:B,2,FALSE))</f>
        <v>800</v>
      </c>
      <c r="J1775" s="24" t="s">
        <v>20</v>
      </c>
      <c r="K1775" s="19"/>
    </row>
    <row r="1776" ht="31" customHeight="1" spans="1:11">
      <c r="A1776" s="19">
        <v>1772</v>
      </c>
      <c r="B1776" s="19" t="s">
        <v>1899</v>
      </c>
      <c r="C1776" s="19" t="s">
        <v>1900</v>
      </c>
      <c r="D1776" s="19" t="s">
        <v>1922</v>
      </c>
      <c r="E1776" s="31" t="s">
        <v>17</v>
      </c>
      <c r="F1776" s="19" t="s">
        <v>18</v>
      </c>
      <c r="G1776" s="19" t="s">
        <v>19</v>
      </c>
      <c r="H1776" s="37">
        <v>45292</v>
      </c>
      <c r="I1776" s="19">
        <f>IF(F1776="是",VLOOKUP(G1776,[286]Sheet2!A:C,3,FALSE),VLOOKUP(G1776,[286]Sheet2!A:B,2,FALSE))</f>
        <v>600</v>
      </c>
      <c r="J1776" s="24" t="s">
        <v>20</v>
      </c>
      <c r="K1776" s="19"/>
    </row>
    <row r="1777" ht="31" customHeight="1" spans="1:11">
      <c r="A1777" s="19">
        <v>1773</v>
      </c>
      <c r="B1777" s="19" t="s">
        <v>1899</v>
      </c>
      <c r="C1777" s="19" t="s">
        <v>1905</v>
      </c>
      <c r="D1777" s="19" t="s">
        <v>1923</v>
      </c>
      <c r="E1777" s="31" t="s">
        <v>17</v>
      </c>
      <c r="F1777" s="19" t="s">
        <v>18</v>
      </c>
      <c r="G1777" s="19" t="s">
        <v>32</v>
      </c>
      <c r="H1777" s="37">
        <v>45474</v>
      </c>
      <c r="I1777" s="19">
        <f>IF(F1777="是",VLOOKUP(G1777,[286]Sheet2!A:C,3,FALSE),VLOOKUP(G1777,[286]Sheet2!A:B,2,FALSE))</f>
        <v>800</v>
      </c>
      <c r="J1777" s="24" t="s">
        <v>20</v>
      </c>
      <c r="K1777" s="19"/>
    </row>
    <row r="1778" ht="31" customHeight="1" spans="1:11">
      <c r="A1778" s="19">
        <v>1774</v>
      </c>
      <c r="B1778" s="19" t="s">
        <v>1899</v>
      </c>
      <c r="C1778" s="19" t="s">
        <v>1905</v>
      </c>
      <c r="D1778" s="19" t="s">
        <v>1924</v>
      </c>
      <c r="E1778" s="31" t="s">
        <v>17</v>
      </c>
      <c r="F1778" s="19" t="s">
        <v>18</v>
      </c>
      <c r="G1778" s="19" t="s">
        <v>19</v>
      </c>
      <c r="H1778" s="37">
        <v>45323</v>
      </c>
      <c r="I1778" s="19">
        <f>IF(F1778="是",VLOOKUP(G1778,[286]Sheet2!A:C,3,FALSE),VLOOKUP(G1778,[286]Sheet2!A:B,2,FALSE))</f>
        <v>600</v>
      </c>
      <c r="J1778" s="24" t="s">
        <v>20</v>
      </c>
      <c r="K1778" s="19"/>
    </row>
    <row r="1779" ht="31" customHeight="1" spans="1:11">
      <c r="A1779" s="19">
        <v>1775</v>
      </c>
      <c r="B1779" s="19" t="s">
        <v>1899</v>
      </c>
      <c r="C1779" s="19" t="s">
        <v>1925</v>
      </c>
      <c r="D1779" s="19" t="s">
        <v>1926</v>
      </c>
      <c r="E1779" s="31" t="s">
        <v>17</v>
      </c>
      <c r="F1779" s="19" t="s">
        <v>18</v>
      </c>
      <c r="G1779" s="19" t="s">
        <v>351</v>
      </c>
      <c r="H1779" s="37">
        <v>45323</v>
      </c>
      <c r="I1779" s="19">
        <f>IF(F1779="是",VLOOKUP(G1779,[286]Sheet2!A:C,3,FALSE),VLOOKUP(G1779,[286]Sheet2!A:B,2,FALSE))</f>
        <v>800</v>
      </c>
      <c r="J1779" s="24" t="s">
        <v>20</v>
      </c>
      <c r="K1779" s="19"/>
    </row>
    <row r="1780" ht="31" customHeight="1" spans="1:11">
      <c r="A1780" s="19">
        <v>1776</v>
      </c>
      <c r="B1780" s="19" t="s">
        <v>1899</v>
      </c>
      <c r="C1780" s="19" t="s">
        <v>1925</v>
      </c>
      <c r="D1780" s="19" t="s">
        <v>1927</v>
      </c>
      <c r="E1780" s="31" t="s">
        <v>17</v>
      </c>
      <c r="F1780" s="19" t="s">
        <v>18</v>
      </c>
      <c r="G1780" s="19" t="s">
        <v>351</v>
      </c>
      <c r="H1780" s="37">
        <v>45323</v>
      </c>
      <c r="I1780" s="19">
        <f>IF(F1780="是",VLOOKUP(G1780,[286]Sheet2!A:C,3,FALSE),VLOOKUP(G1780,[286]Sheet2!A:B,2,FALSE))</f>
        <v>800</v>
      </c>
      <c r="J1780" s="24" t="s">
        <v>20</v>
      </c>
      <c r="K1780" s="19"/>
    </row>
    <row r="1781" ht="31" customHeight="1" spans="1:11">
      <c r="A1781" s="19">
        <v>1777</v>
      </c>
      <c r="B1781" s="19" t="s">
        <v>1899</v>
      </c>
      <c r="C1781" s="19" t="s">
        <v>1928</v>
      </c>
      <c r="D1781" s="19" t="s">
        <v>1929</v>
      </c>
      <c r="E1781" s="31" t="s">
        <v>17</v>
      </c>
      <c r="F1781" s="19" t="s">
        <v>18</v>
      </c>
      <c r="G1781" s="19" t="s">
        <v>29</v>
      </c>
      <c r="H1781" s="37">
        <v>45413</v>
      </c>
      <c r="I1781" s="19">
        <f>IF(F1781="是",VLOOKUP(G1781,[286]Sheet2!A:C,3,FALSE),VLOOKUP(G1781,[286]Sheet2!A:B,2,FALSE))</f>
        <v>800</v>
      </c>
      <c r="J1781" s="24" t="s">
        <v>20</v>
      </c>
      <c r="K1781" s="19"/>
    </row>
    <row r="1782" ht="31" customHeight="1" spans="1:11">
      <c r="A1782" s="19">
        <v>1778</v>
      </c>
      <c r="B1782" s="19" t="s">
        <v>1899</v>
      </c>
      <c r="C1782" s="19" t="s">
        <v>1928</v>
      </c>
      <c r="D1782" s="19" t="s">
        <v>1930</v>
      </c>
      <c r="E1782" s="31" t="s">
        <v>17</v>
      </c>
      <c r="F1782" s="19" t="s">
        <v>18</v>
      </c>
      <c r="G1782" s="19" t="s">
        <v>19</v>
      </c>
      <c r="H1782" s="37">
        <v>45323</v>
      </c>
      <c r="I1782" s="19">
        <f>IF(F1782="是",VLOOKUP(G1782,[286]Sheet2!A:C,3,FALSE),VLOOKUP(G1782,[286]Sheet2!A:B,2,FALSE))</f>
        <v>600</v>
      </c>
      <c r="J1782" s="24" t="s">
        <v>20</v>
      </c>
      <c r="K1782" s="19"/>
    </row>
    <row r="1783" ht="31" customHeight="1" spans="1:11">
      <c r="A1783" s="19">
        <v>1779</v>
      </c>
      <c r="B1783" s="19" t="s">
        <v>1899</v>
      </c>
      <c r="C1783" s="19" t="s">
        <v>1931</v>
      </c>
      <c r="D1783" s="19" t="s">
        <v>1932</v>
      </c>
      <c r="E1783" s="31" t="s">
        <v>17</v>
      </c>
      <c r="F1783" s="19" t="s">
        <v>18</v>
      </c>
      <c r="G1783" s="19" t="s">
        <v>19</v>
      </c>
      <c r="H1783" s="37">
        <v>45323</v>
      </c>
      <c r="I1783" s="19">
        <f>IF(F1783="是",VLOOKUP(G1783,[286]Sheet2!A:C,3,FALSE),VLOOKUP(G1783,[286]Sheet2!A:B,2,FALSE))</f>
        <v>600</v>
      </c>
      <c r="J1783" s="24" t="s">
        <v>20</v>
      </c>
      <c r="K1783" s="19"/>
    </row>
    <row r="1784" ht="31" customHeight="1" spans="1:11">
      <c r="A1784" s="19">
        <v>1780</v>
      </c>
      <c r="B1784" s="19" t="s">
        <v>1899</v>
      </c>
      <c r="C1784" s="19" t="s">
        <v>1902</v>
      </c>
      <c r="D1784" s="19" t="s">
        <v>1933</v>
      </c>
      <c r="E1784" s="31" t="s">
        <v>17</v>
      </c>
      <c r="F1784" s="19" t="s">
        <v>18</v>
      </c>
      <c r="G1784" s="19" t="s">
        <v>301</v>
      </c>
      <c r="H1784" s="37">
        <v>45352</v>
      </c>
      <c r="I1784" s="19">
        <f>IF(F1784="是",VLOOKUP(G1784,[286]Sheet2!A:C,3,FALSE),VLOOKUP(G1784,[286]Sheet2!A:B,2,FALSE))</f>
        <v>800</v>
      </c>
      <c r="J1784" s="24" t="s">
        <v>20</v>
      </c>
      <c r="K1784" s="19"/>
    </row>
    <row r="1785" ht="31" customHeight="1" spans="1:11">
      <c r="A1785" s="19">
        <v>1781</v>
      </c>
      <c r="B1785" s="19" t="s">
        <v>1899</v>
      </c>
      <c r="C1785" s="19" t="s">
        <v>1934</v>
      </c>
      <c r="D1785" s="19" t="s">
        <v>1935</v>
      </c>
      <c r="E1785" s="31" t="s">
        <v>17</v>
      </c>
      <c r="F1785" s="19" t="s">
        <v>18</v>
      </c>
      <c r="G1785" s="19" t="s">
        <v>19</v>
      </c>
      <c r="H1785" s="37">
        <v>45352</v>
      </c>
      <c r="I1785" s="19">
        <f>IF(F1785="是",VLOOKUP(G1785,[286]Sheet2!A:C,3,FALSE),VLOOKUP(G1785,[286]Sheet2!A:B,2,FALSE))</f>
        <v>600</v>
      </c>
      <c r="J1785" s="24" t="s">
        <v>20</v>
      </c>
      <c r="K1785" s="19"/>
    </row>
    <row r="1786" ht="31" customHeight="1" spans="1:11">
      <c r="A1786" s="19">
        <v>1782</v>
      </c>
      <c r="B1786" s="19" t="s">
        <v>1899</v>
      </c>
      <c r="C1786" s="19" t="s">
        <v>1909</v>
      </c>
      <c r="D1786" s="19" t="s">
        <v>1936</v>
      </c>
      <c r="E1786" s="31" t="s">
        <v>17</v>
      </c>
      <c r="F1786" s="19" t="s">
        <v>18</v>
      </c>
      <c r="G1786" s="19" t="s">
        <v>19</v>
      </c>
      <c r="H1786" s="37">
        <v>45352</v>
      </c>
      <c r="I1786" s="19">
        <f>IF(F1786="是",VLOOKUP(G1786,[286]Sheet2!A:C,3,FALSE),VLOOKUP(G1786,[286]Sheet2!A:B,2,FALSE))</f>
        <v>600</v>
      </c>
      <c r="J1786" s="24" t="s">
        <v>20</v>
      </c>
      <c r="K1786" s="19"/>
    </row>
    <row r="1787" ht="31" customHeight="1" spans="1:11">
      <c r="A1787" s="19">
        <v>1783</v>
      </c>
      <c r="B1787" s="19" t="s">
        <v>1899</v>
      </c>
      <c r="C1787" s="19" t="s">
        <v>1937</v>
      </c>
      <c r="D1787" s="19" t="s">
        <v>1938</v>
      </c>
      <c r="E1787" s="31" t="s">
        <v>17</v>
      </c>
      <c r="F1787" s="19" t="s">
        <v>18</v>
      </c>
      <c r="G1787" s="19" t="s">
        <v>19</v>
      </c>
      <c r="H1787" s="37">
        <v>45323</v>
      </c>
      <c r="I1787" s="19">
        <f>IF(F1787="是",VLOOKUP(G1787,[286]Sheet2!A:C,3,FALSE),VLOOKUP(G1787,[286]Sheet2!A:B,2,FALSE))</f>
        <v>600</v>
      </c>
      <c r="J1787" s="24" t="s">
        <v>20</v>
      </c>
      <c r="K1787" s="19"/>
    </row>
    <row r="1788" ht="31" customHeight="1" spans="1:11">
      <c r="A1788" s="19">
        <v>1784</v>
      </c>
      <c r="B1788" s="19" t="s">
        <v>1899</v>
      </c>
      <c r="C1788" s="19" t="s">
        <v>1902</v>
      </c>
      <c r="D1788" s="19" t="s">
        <v>1939</v>
      </c>
      <c r="E1788" s="31" t="s">
        <v>17</v>
      </c>
      <c r="F1788" s="19" t="s">
        <v>18</v>
      </c>
      <c r="G1788" s="19" t="s">
        <v>98</v>
      </c>
      <c r="H1788" s="37">
        <v>45323</v>
      </c>
      <c r="I1788" s="19">
        <f>IF(F1788="是",VLOOKUP(G1788,[286]Sheet2!A:C,3,FALSE),VLOOKUP(G1788,[286]Sheet2!A:B,2,FALSE))</f>
        <v>800</v>
      </c>
      <c r="J1788" s="24" t="s">
        <v>20</v>
      </c>
      <c r="K1788" s="19"/>
    </row>
    <row r="1789" ht="31" customHeight="1" spans="1:11">
      <c r="A1789" s="19">
        <v>1785</v>
      </c>
      <c r="B1789" s="19" t="s">
        <v>1899</v>
      </c>
      <c r="C1789" s="19" t="s">
        <v>1931</v>
      </c>
      <c r="D1789" s="19" t="s">
        <v>1940</v>
      </c>
      <c r="E1789" s="31" t="s">
        <v>17</v>
      </c>
      <c r="F1789" s="19" t="s">
        <v>18</v>
      </c>
      <c r="G1789" s="19" t="s">
        <v>1941</v>
      </c>
      <c r="H1789" s="37">
        <v>45474</v>
      </c>
      <c r="I1789" s="19">
        <f>IF(F1789="是",VLOOKUP(G1789,[286]Sheet2!A:C,3,FALSE),VLOOKUP(G1789,[286]Sheet2!A:B,2,FALSE))</f>
        <v>800</v>
      </c>
      <c r="J1789" s="24" t="s">
        <v>20</v>
      </c>
      <c r="K1789" s="19"/>
    </row>
    <row r="1790" ht="31" customHeight="1" spans="1:11">
      <c r="A1790" s="19">
        <v>1786</v>
      </c>
      <c r="B1790" s="19" t="s">
        <v>1899</v>
      </c>
      <c r="C1790" s="19" t="s">
        <v>1909</v>
      </c>
      <c r="D1790" s="19" t="s">
        <v>1942</v>
      </c>
      <c r="E1790" s="31" t="s">
        <v>17</v>
      </c>
      <c r="F1790" s="19" t="s">
        <v>18</v>
      </c>
      <c r="G1790" s="19" t="s">
        <v>32</v>
      </c>
      <c r="H1790" s="37">
        <v>45474</v>
      </c>
      <c r="I1790" s="19">
        <f>IF(F1790="是",VLOOKUP(G1790,[286]Sheet2!A:C,3,FALSE),VLOOKUP(G1790,[286]Sheet2!A:B,2,FALSE))</f>
        <v>800</v>
      </c>
      <c r="J1790" s="24" t="s">
        <v>20</v>
      </c>
      <c r="K1790" s="19"/>
    </row>
    <row r="1791" ht="31" customHeight="1" spans="1:11">
      <c r="A1791" s="19">
        <v>1787</v>
      </c>
      <c r="B1791" s="19" t="s">
        <v>1899</v>
      </c>
      <c r="C1791" s="19" t="s">
        <v>1909</v>
      </c>
      <c r="D1791" s="19" t="s">
        <v>1943</v>
      </c>
      <c r="E1791" s="31" t="s">
        <v>17</v>
      </c>
      <c r="F1791" s="19" t="s">
        <v>18</v>
      </c>
      <c r="G1791" s="19" t="s">
        <v>48</v>
      </c>
      <c r="H1791" s="37">
        <v>45474</v>
      </c>
      <c r="I1791" s="19">
        <f>IF(F1791="是",VLOOKUP(G1791,[286]Sheet2!A:C,3,FALSE),VLOOKUP(G1791,[286]Sheet2!A:B,2,FALSE))</f>
        <v>800</v>
      </c>
      <c r="J1791" s="24" t="s">
        <v>20</v>
      </c>
      <c r="K1791" s="19"/>
    </row>
    <row r="1792" ht="31" customHeight="1" spans="1:11">
      <c r="A1792" s="19">
        <v>1788</v>
      </c>
      <c r="B1792" s="19" t="s">
        <v>1899</v>
      </c>
      <c r="C1792" s="19" t="s">
        <v>1920</v>
      </c>
      <c r="D1792" s="19" t="s">
        <v>1944</v>
      </c>
      <c r="E1792" s="31" t="s">
        <v>17</v>
      </c>
      <c r="F1792" s="19" t="s">
        <v>18</v>
      </c>
      <c r="G1792" s="19" t="s">
        <v>19</v>
      </c>
      <c r="H1792" s="37">
        <v>45474</v>
      </c>
      <c r="I1792" s="19">
        <f>IF(F1792="是",VLOOKUP(G1792,[286]Sheet2!A:C,3,FALSE),VLOOKUP(G1792,[286]Sheet2!A:B,2,FALSE))</f>
        <v>600</v>
      </c>
      <c r="J1792" s="24" t="s">
        <v>20</v>
      </c>
      <c r="K1792" s="19"/>
    </row>
    <row r="1793" ht="31" customHeight="1" spans="1:11">
      <c r="A1793" s="19">
        <v>1789</v>
      </c>
      <c r="B1793" s="19" t="s">
        <v>1899</v>
      </c>
      <c r="C1793" s="19" t="s">
        <v>1902</v>
      </c>
      <c r="D1793" s="19" t="s">
        <v>1945</v>
      </c>
      <c r="E1793" s="31" t="s">
        <v>17</v>
      </c>
      <c r="F1793" s="19" t="s">
        <v>18</v>
      </c>
      <c r="G1793" s="19" t="s">
        <v>98</v>
      </c>
      <c r="H1793" s="37">
        <v>45323</v>
      </c>
      <c r="I1793" s="19">
        <f>IF(F1793="是",VLOOKUP(G1793,[285]Sheet2!A:C,3,FALSE),VLOOKUP(G1793,[285]Sheet2!A:B,2,FALSE))</f>
        <v>800</v>
      </c>
      <c r="J1793" s="24" t="s">
        <v>20</v>
      </c>
      <c r="K1793" s="19"/>
    </row>
    <row r="1794" ht="31" customHeight="1" spans="1:11">
      <c r="A1794" s="19">
        <v>1790</v>
      </c>
      <c r="B1794" s="19" t="s">
        <v>1899</v>
      </c>
      <c r="C1794" s="19" t="s">
        <v>1937</v>
      </c>
      <c r="D1794" s="19" t="s">
        <v>1946</v>
      </c>
      <c r="E1794" s="31" t="s">
        <v>17</v>
      </c>
      <c r="F1794" s="19" t="s">
        <v>18</v>
      </c>
      <c r="G1794" s="19" t="s">
        <v>32</v>
      </c>
      <c r="H1794" s="37">
        <v>45383</v>
      </c>
      <c r="I1794" s="19">
        <f>IF(F1794="是",VLOOKUP(G1794,[285]Sheet2!A:C,3,FALSE),VLOOKUP(G1794,[285]Sheet2!A:B,2,FALSE))</f>
        <v>800</v>
      </c>
      <c r="J1794" s="24" t="s">
        <v>20</v>
      </c>
      <c r="K1794" s="19"/>
    </row>
    <row r="1795" ht="31" customHeight="1" spans="1:11">
      <c r="A1795" s="19">
        <v>1791</v>
      </c>
      <c r="B1795" s="19" t="s">
        <v>1899</v>
      </c>
      <c r="C1795" s="19" t="s">
        <v>1907</v>
      </c>
      <c r="D1795" s="19" t="s">
        <v>1947</v>
      </c>
      <c r="E1795" s="31" t="s">
        <v>17</v>
      </c>
      <c r="F1795" s="19" t="s">
        <v>18</v>
      </c>
      <c r="G1795" s="19" t="s">
        <v>19</v>
      </c>
      <c r="H1795" s="37">
        <v>45323</v>
      </c>
      <c r="I1795" s="19">
        <f>IF(F1795="是",VLOOKUP(G1795,[285]Sheet2!A:C,3,FALSE),VLOOKUP(G1795,[285]Sheet2!A:B,2,FALSE))</f>
        <v>600</v>
      </c>
      <c r="J1795" s="24" t="s">
        <v>20</v>
      </c>
      <c r="K1795" s="19"/>
    </row>
    <row r="1796" ht="31" customHeight="1" spans="1:11">
      <c r="A1796" s="19">
        <v>1792</v>
      </c>
      <c r="B1796" s="19" t="s">
        <v>1899</v>
      </c>
      <c r="C1796" s="19" t="s">
        <v>1907</v>
      </c>
      <c r="D1796" s="19" t="s">
        <v>1948</v>
      </c>
      <c r="E1796" s="31" t="s">
        <v>17</v>
      </c>
      <c r="F1796" s="19" t="s">
        <v>18</v>
      </c>
      <c r="G1796" s="19" t="s">
        <v>19</v>
      </c>
      <c r="H1796" s="37">
        <v>45323</v>
      </c>
      <c r="I1796" s="19">
        <f>IF(F1796="是",VLOOKUP(G1796,[285]Sheet2!A:C,3,FALSE),VLOOKUP(G1796,[285]Sheet2!A:B,2,FALSE))</f>
        <v>600</v>
      </c>
      <c r="J1796" s="24" t="s">
        <v>20</v>
      </c>
      <c r="K1796" s="19"/>
    </row>
    <row r="1797" ht="31" customHeight="1" spans="1:11">
      <c r="A1797" s="19">
        <v>1793</v>
      </c>
      <c r="B1797" s="19" t="s">
        <v>1899</v>
      </c>
      <c r="C1797" s="19" t="s">
        <v>1902</v>
      </c>
      <c r="D1797" s="19" t="s">
        <v>1949</v>
      </c>
      <c r="E1797" s="31" t="s">
        <v>17</v>
      </c>
      <c r="F1797" s="19" t="s">
        <v>18</v>
      </c>
      <c r="G1797" s="19" t="s">
        <v>29</v>
      </c>
      <c r="H1797" s="37">
        <v>45474</v>
      </c>
      <c r="I1797" s="19">
        <f>IF(F1797="是",VLOOKUP(G1797,[285]Sheet2!A:C,3,FALSE),VLOOKUP(G1797,[285]Sheet2!A:B,2,FALSE))</f>
        <v>800</v>
      </c>
      <c r="J1797" s="24" t="s">
        <v>20</v>
      </c>
      <c r="K1797" s="19"/>
    </row>
    <row r="1798" ht="50" customHeight="1" spans="1:11">
      <c r="A1798" s="74" t="s">
        <v>1950</v>
      </c>
      <c r="B1798" s="75"/>
      <c r="C1798" s="75"/>
      <c r="D1798" s="75"/>
      <c r="E1798" s="75"/>
      <c r="F1798" s="75"/>
      <c r="G1798" s="75"/>
      <c r="H1798" s="76"/>
      <c r="I1798" s="19">
        <f>SUM(I5:I1797)</f>
        <v>1149900</v>
      </c>
      <c r="J1798" s="77"/>
      <c r="K1798" s="77"/>
    </row>
  </sheetData>
  <autoFilter ref="A4:J1798">
    <extLst/>
  </autoFilter>
  <mergeCells count="4">
    <mergeCell ref="A2:K2"/>
    <mergeCell ref="A3:K3"/>
    <mergeCell ref="A1798:H1798"/>
    <mergeCell ref="J1798:K1798"/>
  </mergeCells>
  <conditionalFormatting sqref="D208">
    <cfRule type="duplicateValues" dxfId="0" priority="419"/>
  </conditionalFormatting>
  <conditionalFormatting sqref="D216">
    <cfRule type="duplicateValues" dxfId="0" priority="416"/>
  </conditionalFormatting>
  <conditionalFormatting sqref="D357">
    <cfRule type="duplicateValues" dxfId="0" priority="380"/>
  </conditionalFormatting>
  <conditionalFormatting sqref="D358">
    <cfRule type="duplicateValues" dxfId="0" priority="379"/>
  </conditionalFormatting>
  <conditionalFormatting sqref="D359">
    <cfRule type="duplicateValues" dxfId="0" priority="378"/>
  </conditionalFormatting>
  <conditionalFormatting sqref="D360">
    <cfRule type="duplicateValues" dxfId="0" priority="377"/>
  </conditionalFormatting>
  <conditionalFormatting sqref="D361">
    <cfRule type="duplicateValues" dxfId="0" priority="376"/>
  </conditionalFormatting>
  <conditionalFormatting sqref="D362">
    <cfRule type="duplicateValues" dxfId="0" priority="375"/>
  </conditionalFormatting>
  <conditionalFormatting sqref="D363">
    <cfRule type="duplicateValues" dxfId="0" priority="374"/>
  </conditionalFormatting>
  <conditionalFormatting sqref="D364">
    <cfRule type="duplicateValues" dxfId="0" priority="373"/>
  </conditionalFormatting>
  <conditionalFormatting sqref="D365">
    <cfRule type="duplicateValues" dxfId="0" priority="372"/>
  </conditionalFormatting>
  <conditionalFormatting sqref="D366">
    <cfRule type="duplicateValues" dxfId="0" priority="371"/>
  </conditionalFormatting>
  <conditionalFormatting sqref="D367">
    <cfRule type="duplicateValues" dxfId="0" priority="370"/>
  </conditionalFormatting>
  <conditionalFormatting sqref="D368">
    <cfRule type="duplicateValues" dxfId="0" priority="369"/>
  </conditionalFormatting>
  <conditionalFormatting sqref="D369">
    <cfRule type="duplicateValues" dxfId="0" priority="368"/>
  </conditionalFormatting>
  <conditionalFormatting sqref="D370">
    <cfRule type="duplicateValues" dxfId="0" priority="367"/>
  </conditionalFormatting>
  <conditionalFormatting sqref="D371">
    <cfRule type="duplicateValues" dxfId="0" priority="366"/>
  </conditionalFormatting>
  <conditionalFormatting sqref="D372">
    <cfRule type="duplicateValues" dxfId="0" priority="365"/>
  </conditionalFormatting>
  <conditionalFormatting sqref="D373">
    <cfRule type="duplicateValues" dxfId="0" priority="364"/>
  </conditionalFormatting>
  <conditionalFormatting sqref="D374">
    <cfRule type="duplicateValues" dxfId="0" priority="363"/>
  </conditionalFormatting>
  <conditionalFormatting sqref="D375">
    <cfRule type="duplicateValues" dxfId="0" priority="362"/>
  </conditionalFormatting>
  <conditionalFormatting sqref="D376">
    <cfRule type="duplicateValues" dxfId="0" priority="361"/>
  </conditionalFormatting>
  <conditionalFormatting sqref="D377">
    <cfRule type="duplicateValues" dxfId="0" priority="360"/>
  </conditionalFormatting>
  <conditionalFormatting sqref="D378">
    <cfRule type="duplicateValues" dxfId="0" priority="359"/>
  </conditionalFormatting>
  <conditionalFormatting sqref="D379">
    <cfRule type="duplicateValues" dxfId="0" priority="358"/>
  </conditionalFormatting>
  <conditionalFormatting sqref="D380">
    <cfRule type="duplicateValues" dxfId="0" priority="357"/>
  </conditionalFormatting>
  <conditionalFormatting sqref="D381">
    <cfRule type="duplicateValues" dxfId="0" priority="356"/>
  </conditionalFormatting>
  <conditionalFormatting sqref="D382">
    <cfRule type="duplicateValues" dxfId="0" priority="355"/>
  </conditionalFormatting>
  <conditionalFormatting sqref="D383">
    <cfRule type="duplicateValues" dxfId="0" priority="354"/>
  </conditionalFormatting>
  <conditionalFormatting sqref="D384">
    <cfRule type="duplicateValues" dxfId="0" priority="353"/>
  </conditionalFormatting>
  <conditionalFormatting sqref="D385">
    <cfRule type="duplicateValues" dxfId="0" priority="352"/>
  </conditionalFormatting>
  <conditionalFormatting sqref="D386">
    <cfRule type="duplicateValues" dxfId="0" priority="351"/>
  </conditionalFormatting>
  <conditionalFormatting sqref="D387">
    <cfRule type="duplicateValues" dxfId="0" priority="350"/>
  </conditionalFormatting>
  <conditionalFormatting sqref="D388">
    <cfRule type="duplicateValues" dxfId="0" priority="349"/>
  </conditionalFormatting>
  <conditionalFormatting sqref="D389">
    <cfRule type="duplicateValues" dxfId="0" priority="348"/>
  </conditionalFormatting>
  <conditionalFormatting sqref="D390">
    <cfRule type="duplicateValues" dxfId="0" priority="347"/>
  </conditionalFormatting>
  <conditionalFormatting sqref="D391">
    <cfRule type="duplicateValues" dxfId="0" priority="346"/>
  </conditionalFormatting>
  <conditionalFormatting sqref="D392">
    <cfRule type="duplicateValues" dxfId="0" priority="345"/>
  </conditionalFormatting>
  <conditionalFormatting sqref="D393">
    <cfRule type="duplicateValues" dxfId="0" priority="344"/>
  </conditionalFormatting>
  <conditionalFormatting sqref="D394">
    <cfRule type="duplicateValues" dxfId="0" priority="343"/>
  </conditionalFormatting>
  <conditionalFormatting sqref="D395">
    <cfRule type="duplicateValues" dxfId="0" priority="342"/>
  </conditionalFormatting>
  <conditionalFormatting sqref="D396">
    <cfRule type="duplicateValues" dxfId="0" priority="341"/>
  </conditionalFormatting>
  <conditionalFormatting sqref="D397">
    <cfRule type="duplicateValues" dxfId="0" priority="340"/>
  </conditionalFormatting>
  <conditionalFormatting sqref="D398">
    <cfRule type="duplicateValues" dxfId="0" priority="339"/>
  </conditionalFormatting>
  <conditionalFormatting sqref="D399">
    <cfRule type="duplicateValues" dxfId="0" priority="338"/>
  </conditionalFormatting>
  <conditionalFormatting sqref="D400">
    <cfRule type="duplicateValues" dxfId="0" priority="337"/>
  </conditionalFormatting>
  <conditionalFormatting sqref="D401">
    <cfRule type="duplicateValues" dxfId="0" priority="336"/>
  </conditionalFormatting>
  <conditionalFormatting sqref="D402">
    <cfRule type="duplicateValues" dxfId="0" priority="335"/>
  </conditionalFormatting>
  <conditionalFormatting sqref="D403">
    <cfRule type="duplicateValues" dxfId="0" priority="334"/>
  </conditionalFormatting>
  <conditionalFormatting sqref="D404">
    <cfRule type="duplicateValues" dxfId="0" priority="333"/>
  </conditionalFormatting>
  <conditionalFormatting sqref="D405">
    <cfRule type="duplicateValues" dxfId="0" priority="332"/>
  </conditionalFormatting>
  <conditionalFormatting sqref="D406">
    <cfRule type="duplicateValues" dxfId="0" priority="331"/>
  </conditionalFormatting>
  <conditionalFormatting sqref="D407">
    <cfRule type="duplicateValues" dxfId="0" priority="330"/>
  </conditionalFormatting>
  <conditionalFormatting sqref="D408">
    <cfRule type="duplicateValues" dxfId="0" priority="329"/>
  </conditionalFormatting>
  <conditionalFormatting sqref="D409">
    <cfRule type="duplicateValues" dxfId="0" priority="328"/>
  </conditionalFormatting>
  <conditionalFormatting sqref="D410">
    <cfRule type="duplicateValues" dxfId="0" priority="327"/>
  </conditionalFormatting>
  <conditionalFormatting sqref="D411">
    <cfRule type="duplicateValues" dxfId="0" priority="326"/>
  </conditionalFormatting>
  <conditionalFormatting sqref="D412">
    <cfRule type="duplicateValues" dxfId="0" priority="325"/>
  </conditionalFormatting>
  <conditionalFormatting sqref="D413">
    <cfRule type="duplicateValues" dxfId="0" priority="324"/>
  </conditionalFormatting>
  <conditionalFormatting sqref="D414">
    <cfRule type="duplicateValues" dxfId="0" priority="323"/>
  </conditionalFormatting>
  <conditionalFormatting sqref="D415">
    <cfRule type="duplicateValues" dxfId="0" priority="322"/>
  </conditionalFormatting>
  <conditionalFormatting sqref="D416">
    <cfRule type="duplicateValues" dxfId="0" priority="321"/>
  </conditionalFormatting>
  <conditionalFormatting sqref="D417">
    <cfRule type="duplicateValues" dxfId="0" priority="320"/>
  </conditionalFormatting>
  <conditionalFormatting sqref="D418">
    <cfRule type="duplicateValues" dxfId="0" priority="319"/>
  </conditionalFormatting>
  <conditionalFormatting sqref="D419">
    <cfRule type="duplicateValues" dxfId="0" priority="318"/>
  </conditionalFormatting>
  <conditionalFormatting sqref="D420">
    <cfRule type="duplicateValues" dxfId="0" priority="317"/>
  </conditionalFormatting>
  <conditionalFormatting sqref="D421">
    <cfRule type="duplicateValues" dxfId="0" priority="316"/>
  </conditionalFormatting>
  <conditionalFormatting sqref="D422">
    <cfRule type="duplicateValues" dxfId="0" priority="315"/>
  </conditionalFormatting>
  <conditionalFormatting sqref="D423">
    <cfRule type="duplicateValues" dxfId="0" priority="314"/>
  </conditionalFormatting>
  <conditionalFormatting sqref="D424">
    <cfRule type="duplicateValues" dxfId="0" priority="313"/>
  </conditionalFormatting>
  <conditionalFormatting sqref="D425">
    <cfRule type="duplicateValues" dxfId="0" priority="312"/>
  </conditionalFormatting>
  <conditionalFormatting sqref="D426">
    <cfRule type="duplicateValues" dxfId="0" priority="311"/>
  </conditionalFormatting>
  <conditionalFormatting sqref="D427">
    <cfRule type="duplicateValues" dxfId="0" priority="310"/>
  </conditionalFormatting>
  <conditionalFormatting sqref="D428">
    <cfRule type="duplicateValues" dxfId="0" priority="309"/>
  </conditionalFormatting>
  <conditionalFormatting sqref="D429">
    <cfRule type="duplicateValues" dxfId="0" priority="308"/>
  </conditionalFormatting>
  <conditionalFormatting sqref="D430">
    <cfRule type="duplicateValues" dxfId="0" priority="307"/>
  </conditionalFormatting>
  <conditionalFormatting sqref="D431">
    <cfRule type="duplicateValues" dxfId="0" priority="306"/>
  </conditionalFormatting>
  <conditionalFormatting sqref="D432">
    <cfRule type="duplicateValues" dxfId="0" priority="305"/>
  </conditionalFormatting>
  <conditionalFormatting sqref="D433">
    <cfRule type="duplicateValues" dxfId="0" priority="304"/>
  </conditionalFormatting>
  <conditionalFormatting sqref="D434">
    <cfRule type="duplicateValues" dxfId="0" priority="303"/>
  </conditionalFormatting>
  <conditionalFormatting sqref="D435">
    <cfRule type="duplicateValues" dxfId="0" priority="302"/>
  </conditionalFormatting>
  <conditionalFormatting sqref="D436">
    <cfRule type="duplicateValues" dxfId="0" priority="301"/>
  </conditionalFormatting>
  <conditionalFormatting sqref="D437">
    <cfRule type="duplicateValues" dxfId="0" priority="300"/>
  </conditionalFormatting>
  <conditionalFormatting sqref="D438">
    <cfRule type="duplicateValues" dxfId="0" priority="299"/>
  </conditionalFormatting>
  <conditionalFormatting sqref="D439">
    <cfRule type="duplicateValues" dxfId="0" priority="298"/>
  </conditionalFormatting>
  <conditionalFormatting sqref="D440">
    <cfRule type="duplicateValues" dxfId="0" priority="297"/>
  </conditionalFormatting>
  <conditionalFormatting sqref="D441">
    <cfRule type="duplicateValues" dxfId="0" priority="296"/>
  </conditionalFormatting>
  <conditionalFormatting sqref="D442">
    <cfRule type="duplicateValues" dxfId="0" priority="295"/>
  </conditionalFormatting>
  <conditionalFormatting sqref="D443">
    <cfRule type="duplicateValues" dxfId="0" priority="294"/>
  </conditionalFormatting>
  <conditionalFormatting sqref="D444">
    <cfRule type="duplicateValues" dxfId="0" priority="293"/>
  </conditionalFormatting>
  <conditionalFormatting sqref="D445">
    <cfRule type="duplicateValues" dxfId="0" priority="292"/>
  </conditionalFormatting>
  <conditionalFormatting sqref="D446">
    <cfRule type="duplicateValues" dxfId="0" priority="291"/>
  </conditionalFormatting>
  <conditionalFormatting sqref="D447">
    <cfRule type="duplicateValues" dxfId="0" priority="290"/>
  </conditionalFormatting>
  <conditionalFormatting sqref="D448">
    <cfRule type="duplicateValues" dxfId="0" priority="289"/>
  </conditionalFormatting>
  <conditionalFormatting sqref="D449">
    <cfRule type="duplicateValues" dxfId="0" priority="288"/>
  </conditionalFormatting>
  <conditionalFormatting sqref="D450">
    <cfRule type="duplicateValues" dxfId="0" priority="287"/>
  </conditionalFormatting>
  <conditionalFormatting sqref="D451">
    <cfRule type="duplicateValues" dxfId="0" priority="286"/>
  </conditionalFormatting>
  <conditionalFormatting sqref="D452">
    <cfRule type="duplicateValues" dxfId="0" priority="285"/>
  </conditionalFormatting>
  <conditionalFormatting sqref="D453">
    <cfRule type="duplicateValues" dxfId="0" priority="284"/>
  </conditionalFormatting>
  <conditionalFormatting sqref="D454">
    <cfRule type="duplicateValues" dxfId="0" priority="283"/>
  </conditionalFormatting>
  <conditionalFormatting sqref="D455">
    <cfRule type="duplicateValues" dxfId="0" priority="282"/>
  </conditionalFormatting>
  <conditionalFormatting sqref="D456">
    <cfRule type="duplicateValues" dxfId="0" priority="281"/>
  </conditionalFormatting>
  <conditionalFormatting sqref="D457">
    <cfRule type="duplicateValues" dxfId="0" priority="280"/>
  </conditionalFormatting>
  <conditionalFormatting sqref="D458">
    <cfRule type="duplicateValues" dxfId="0" priority="279"/>
  </conditionalFormatting>
  <conditionalFormatting sqref="D459">
    <cfRule type="duplicateValues" dxfId="0" priority="278"/>
  </conditionalFormatting>
  <conditionalFormatting sqref="D460">
    <cfRule type="duplicateValues" dxfId="0" priority="277"/>
  </conditionalFormatting>
  <conditionalFormatting sqref="D461">
    <cfRule type="duplicateValues" dxfId="0" priority="276"/>
  </conditionalFormatting>
  <conditionalFormatting sqref="D462">
    <cfRule type="duplicateValues" dxfId="0" priority="275"/>
  </conditionalFormatting>
  <conditionalFormatting sqref="D463">
    <cfRule type="duplicateValues" dxfId="0" priority="274"/>
  </conditionalFormatting>
  <conditionalFormatting sqref="D464">
    <cfRule type="duplicateValues" dxfId="0" priority="273"/>
  </conditionalFormatting>
  <conditionalFormatting sqref="D465">
    <cfRule type="duplicateValues" dxfId="0" priority="272"/>
  </conditionalFormatting>
  <conditionalFormatting sqref="D466">
    <cfRule type="duplicateValues" dxfId="0" priority="271"/>
  </conditionalFormatting>
  <conditionalFormatting sqref="D467">
    <cfRule type="duplicateValues" dxfId="0" priority="270"/>
  </conditionalFormatting>
  <conditionalFormatting sqref="D468">
    <cfRule type="duplicateValues" dxfId="0" priority="269"/>
  </conditionalFormatting>
  <conditionalFormatting sqref="D469">
    <cfRule type="duplicateValues" dxfId="0" priority="268"/>
  </conditionalFormatting>
  <conditionalFormatting sqref="D470">
    <cfRule type="duplicateValues" dxfId="0" priority="267"/>
  </conditionalFormatting>
  <conditionalFormatting sqref="D471">
    <cfRule type="duplicateValues" dxfId="0" priority="266"/>
  </conditionalFormatting>
  <conditionalFormatting sqref="D472">
    <cfRule type="duplicateValues" dxfId="0" priority="265"/>
  </conditionalFormatting>
  <conditionalFormatting sqref="D473">
    <cfRule type="duplicateValues" dxfId="0" priority="264"/>
  </conditionalFormatting>
  <conditionalFormatting sqref="D474">
    <cfRule type="duplicateValues" dxfId="0" priority="263"/>
  </conditionalFormatting>
  <conditionalFormatting sqref="D475">
    <cfRule type="duplicateValues" dxfId="0" priority="262"/>
  </conditionalFormatting>
  <conditionalFormatting sqref="D476">
    <cfRule type="duplicateValues" dxfId="0" priority="261"/>
  </conditionalFormatting>
  <conditionalFormatting sqref="D477">
    <cfRule type="duplicateValues" dxfId="0" priority="260"/>
  </conditionalFormatting>
  <conditionalFormatting sqref="D478">
    <cfRule type="duplicateValues" dxfId="0" priority="259"/>
  </conditionalFormatting>
  <conditionalFormatting sqref="D479">
    <cfRule type="duplicateValues" dxfId="0" priority="258"/>
  </conditionalFormatting>
  <conditionalFormatting sqref="D480">
    <cfRule type="duplicateValues" dxfId="0" priority="257"/>
  </conditionalFormatting>
  <conditionalFormatting sqref="D481">
    <cfRule type="duplicateValues" dxfId="0" priority="256"/>
  </conditionalFormatting>
  <conditionalFormatting sqref="D482">
    <cfRule type="duplicateValues" dxfId="0" priority="255"/>
  </conditionalFormatting>
  <conditionalFormatting sqref="D483">
    <cfRule type="duplicateValues" dxfId="0" priority="254"/>
  </conditionalFormatting>
  <conditionalFormatting sqref="D484">
    <cfRule type="duplicateValues" dxfId="0" priority="253"/>
  </conditionalFormatting>
  <conditionalFormatting sqref="D485">
    <cfRule type="duplicateValues" dxfId="0" priority="252"/>
  </conditionalFormatting>
  <conditionalFormatting sqref="D486">
    <cfRule type="duplicateValues" dxfId="0" priority="251"/>
  </conditionalFormatting>
  <conditionalFormatting sqref="D487">
    <cfRule type="duplicateValues" dxfId="0" priority="250"/>
  </conditionalFormatting>
  <conditionalFormatting sqref="D488">
    <cfRule type="duplicateValues" dxfId="0" priority="249"/>
  </conditionalFormatting>
  <conditionalFormatting sqref="D489">
    <cfRule type="duplicateValues" dxfId="0" priority="248"/>
  </conditionalFormatting>
  <conditionalFormatting sqref="D490">
    <cfRule type="duplicateValues" dxfId="0" priority="247"/>
  </conditionalFormatting>
  <conditionalFormatting sqref="D491">
    <cfRule type="duplicateValues" dxfId="0" priority="246"/>
  </conditionalFormatting>
  <conditionalFormatting sqref="D492">
    <cfRule type="duplicateValues" dxfId="0" priority="245"/>
  </conditionalFormatting>
  <conditionalFormatting sqref="D493">
    <cfRule type="duplicateValues" dxfId="0" priority="244"/>
  </conditionalFormatting>
  <conditionalFormatting sqref="D494">
    <cfRule type="duplicateValues" dxfId="0" priority="243"/>
  </conditionalFormatting>
  <conditionalFormatting sqref="D495">
    <cfRule type="duplicateValues" dxfId="0" priority="242"/>
  </conditionalFormatting>
  <conditionalFormatting sqref="D496">
    <cfRule type="duplicateValues" dxfId="0" priority="241"/>
  </conditionalFormatting>
  <conditionalFormatting sqref="D497">
    <cfRule type="duplicateValues" dxfId="0" priority="240"/>
  </conditionalFormatting>
  <conditionalFormatting sqref="D498">
    <cfRule type="duplicateValues" dxfId="0" priority="239"/>
  </conditionalFormatting>
  <conditionalFormatting sqref="D499">
    <cfRule type="duplicateValues" dxfId="0" priority="238"/>
  </conditionalFormatting>
  <conditionalFormatting sqref="D500">
    <cfRule type="duplicateValues" dxfId="0" priority="237"/>
  </conditionalFormatting>
  <conditionalFormatting sqref="D501">
    <cfRule type="duplicateValues" dxfId="0" priority="236"/>
  </conditionalFormatting>
  <conditionalFormatting sqref="D502">
    <cfRule type="duplicateValues" dxfId="0" priority="235"/>
  </conditionalFormatting>
  <conditionalFormatting sqref="D503">
    <cfRule type="duplicateValues" dxfId="0" priority="234"/>
  </conditionalFormatting>
  <conditionalFormatting sqref="D504">
    <cfRule type="duplicateValues" dxfId="0" priority="233"/>
  </conditionalFormatting>
  <conditionalFormatting sqref="D505">
    <cfRule type="duplicateValues" dxfId="0" priority="232"/>
  </conditionalFormatting>
  <conditionalFormatting sqref="D506">
    <cfRule type="duplicateValues" dxfId="0" priority="231"/>
  </conditionalFormatting>
  <conditionalFormatting sqref="D507">
    <cfRule type="duplicateValues" dxfId="0" priority="230"/>
  </conditionalFormatting>
  <conditionalFormatting sqref="D508">
    <cfRule type="duplicateValues" dxfId="0" priority="229"/>
  </conditionalFormatting>
  <conditionalFormatting sqref="D509">
    <cfRule type="duplicateValues" dxfId="0" priority="228"/>
  </conditionalFormatting>
  <conditionalFormatting sqref="D510">
    <cfRule type="duplicateValues" dxfId="0" priority="227"/>
  </conditionalFormatting>
  <conditionalFormatting sqref="D511">
    <cfRule type="duplicateValues" dxfId="0" priority="226"/>
  </conditionalFormatting>
  <conditionalFormatting sqref="D512">
    <cfRule type="duplicateValues" dxfId="0" priority="225"/>
  </conditionalFormatting>
  <conditionalFormatting sqref="D513">
    <cfRule type="duplicateValues" dxfId="0" priority="224"/>
  </conditionalFormatting>
  <conditionalFormatting sqref="D514">
    <cfRule type="duplicateValues" dxfId="0" priority="223"/>
  </conditionalFormatting>
  <conditionalFormatting sqref="D515">
    <cfRule type="duplicateValues" dxfId="0" priority="222"/>
  </conditionalFormatting>
  <conditionalFormatting sqref="D516">
    <cfRule type="duplicateValues" dxfId="0" priority="221"/>
  </conditionalFormatting>
  <conditionalFormatting sqref="D517">
    <cfRule type="duplicateValues" dxfId="0" priority="220"/>
  </conditionalFormatting>
  <conditionalFormatting sqref="D518">
    <cfRule type="duplicateValues" dxfId="0" priority="219"/>
  </conditionalFormatting>
  <conditionalFormatting sqref="D519">
    <cfRule type="duplicateValues" dxfId="0" priority="218"/>
  </conditionalFormatting>
  <conditionalFormatting sqref="D520">
    <cfRule type="duplicateValues" dxfId="0" priority="217"/>
  </conditionalFormatting>
  <conditionalFormatting sqref="D521">
    <cfRule type="duplicateValues" dxfId="0" priority="216"/>
  </conditionalFormatting>
  <conditionalFormatting sqref="D522">
    <cfRule type="duplicateValues" dxfId="0" priority="215"/>
  </conditionalFormatting>
  <conditionalFormatting sqref="D523">
    <cfRule type="duplicateValues" dxfId="0" priority="214"/>
  </conditionalFormatting>
  <conditionalFormatting sqref="D524">
    <cfRule type="duplicateValues" dxfId="0" priority="213"/>
  </conditionalFormatting>
  <conditionalFormatting sqref="D525">
    <cfRule type="duplicateValues" dxfId="0" priority="212"/>
  </conditionalFormatting>
  <conditionalFormatting sqref="D526">
    <cfRule type="duplicateValues" dxfId="0" priority="211"/>
  </conditionalFormatting>
  <conditionalFormatting sqref="D527">
    <cfRule type="duplicateValues" dxfId="0" priority="210"/>
  </conditionalFormatting>
  <conditionalFormatting sqref="D528">
    <cfRule type="duplicateValues" dxfId="0" priority="209"/>
  </conditionalFormatting>
  <conditionalFormatting sqref="D529">
    <cfRule type="duplicateValues" dxfId="0" priority="208"/>
  </conditionalFormatting>
  <conditionalFormatting sqref="D530">
    <cfRule type="duplicateValues" dxfId="0" priority="207"/>
  </conditionalFormatting>
  <conditionalFormatting sqref="D531">
    <cfRule type="duplicateValues" dxfId="0" priority="206"/>
  </conditionalFormatting>
  <conditionalFormatting sqref="D532">
    <cfRule type="duplicateValues" dxfId="0" priority="205"/>
  </conditionalFormatting>
  <conditionalFormatting sqref="D533">
    <cfRule type="duplicateValues" dxfId="0" priority="204"/>
  </conditionalFormatting>
  <conditionalFormatting sqref="D534">
    <cfRule type="duplicateValues" dxfId="0" priority="203"/>
  </conditionalFormatting>
  <conditionalFormatting sqref="D535">
    <cfRule type="duplicateValues" dxfId="0" priority="202"/>
  </conditionalFormatting>
  <conditionalFormatting sqref="D536">
    <cfRule type="duplicateValues" dxfId="0" priority="201"/>
  </conditionalFormatting>
  <conditionalFormatting sqref="D537">
    <cfRule type="duplicateValues" dxfId="0" priority="200"/>
  </conditionalFormatting>
  <conditionalFormatting sqref="D538">
    <cfRule type="duplicateValues" dxfId="0" priority="199"/>
  </conditionalFormatting>
  <conditionalFormatting sqref="D539">
    <cfRule type="duplicateValues" dxfId="0" priority="198"/>
  </conditionalFormatting>
  <conditionalFormatting sqref="D540">
    <cfRule type="duplicateValues" dxfId="0" priority="197"/>
  </conditionalFormatting>
  <conditionalFormatting sqref="D541">
    <cfRule type="duplicateValues" dxfId="0" priority="196"/>
  </conditionalFormatting>
  <conditionalFormatting sqref="D542">
    <cfRule type="duplicateValues" dxfId="0" priority="195"/>
  </conditionalFormatting>
  <conditionalFormatting sqref="D543">
    <cfRule type="duplicateValues" dxfId="0" priority="194"/>
  </conditionalFormatting>
  <conditionalFormatting sqref="D544">
    <cfRule type="duplicateValues" dxfId="0" priority="193"/>
  </conditionalFormatting>
  <conditionalFormatting sqref="D545">
    <cfRule type="duplicateValues" dxfId="0" priority="192"/>
  </conditionalFormatting>
  <conditionalFormatting sqref="D546">
    <cfRule type="duplicateValues" dxfId="0" priority="191"/>
  </conditionalFormatting>
  <conditionalFormatting sqref="D547">
    <cfRule type="duplicateValues" dxfId="0" priority="190"/>
  </conditionalFormatting>
  <conditionalFormatting sqref="D548">
    <cfRule type="duplicateValues" dxfId="0" priority="189"/>
  </conditionalFormatting>
  <conditionalFormatting sqref="D549">
    <cfRule type="duplicateValues" dxfId="0" priority="188"/>
  </conditionalFormatting>
  <conditionalFormatting sqref="D550">
    <cfRule type="duplicateValues" dxfId="0" priority="187"/>
  </conditionalFormatting>
  <conditionalFormatting sqref="D551">
    <cfRule type="duplicateValues" dxfId="0" priority="186"/>
  </conditionalFormatting>
  <conditionalFormatting sqref="D552">
    <cfRule type="duplicateValues" dxfId="0" priority="185"/>
  </conditionalFormatting>
  <conditionalFormatting sqref="D553">
    <cfRule type="duplicateValues" dxfId="0" priority="184"/>
  </conditionalFormatting>
  <conditionalFormatting sqref="D554">
    <cfRule type="duplicateValues" dxfId="0" priority="183"/>
  </conditionalFormatting>
  <conditionalFormatting sqref="D555">
    <cfRule type="duplicateValues" dxfId="0" priority="182"/>
  </conditionalFormatting>
  <conditionalFormatting sqref="D556">
    <cfRule type="duplicateValues" dxfId="0" priority="181"/>
  </conditionalFormatting>
  <conditionalFormatting sqref="D557">
    <cfRule type="duplicateValues" dxfId="0" priority="180"/>
  </conditionalFormatting>
  <conditionalFormatting sqref="D558">
    <cfRule type="duplicateValues" dxfId="0" priority="179"/>
  </conditionalFormatting>
  <conditionalFormatting sqref="D559">
    <cfRule type="duplicateValues" dxfId="0" priority="178"/>
  </conditionalFormatting>
  <conditionalFormatting sqref="D560">
    <cfRule type="duplicateValues" dxfId="0" priority="177"/>
  </conditionalFormatting>
  <conditionalFormatting sqref="D561">
    <cfRule type="duplicateValues" dxfId="0" priority="176"/>
  </conditionalFormatting>
  <conditionalFormatting sqref="D562">
    <cfRule type="duplicateValues" dxfId="0" priority="175"/>
  </conditionalFormatting>
  <conditionalFormatting sqref="D563">
    <cfRule type="duplicateValues" dxfId="0" priority="174"/>
  </conditionalFormatting>
  <conditionalFormatting sqref="D564">
    <cfRule type="duplicateValues" dxfId="0" priority="173"/>
  </conditionalFormatting>
  <conditionalFormatting sqref="D565">
    <cfRule type="duplicateValues" dxfId="0" priority="172"/>
  </conditionalFormatting>
  <conditionalFormatting sqref="D566">
    <cfRule type="duplicateValues" dxfId="0" priority="171"/>
  </conditionalFormatting>
  <conditionalFormatting sqref="D567">
    <cfRule type="duplicateValues" dxfId="0" priority="170"/>
  </conditionalFormatting>
  <conditionalFormatting sqref="D568">
    <cfRule type="duplicateValues" dxfId="0" priority="169"/>
  </conditionalFormatting>
  <conditionalFormatting sqref="D569">
    <cfRule type="duplicateValues" dxfId="0" priority="168"/>
  </conditionalFormatting>
  <conditionalFormatting sqref="D570">
    <cfRule type="duplicateValues" dxfId="0" priority="167"/>
  </conditionalFormatting>
  <conditionalFormatting sqref="D571">
    <cfRule type="duplicateValues" dxfId="0" priority="166"/>
  </conditionalFormatting>
  <conditionalFormatting sqref="D572">
    <cfRule type="duplicateValues" dxfId="0" priority="165"/>
  </conditionalFormatting>
  <conditionalFormatting sqref="D573">
    <cfRule type="duplicateValues" dxfId="0" priority="164"/>
  </conditionalFormatting>
  <conditionalFormatting sqref="D574">
    <cfRule type="duplicateValues" dxfId="0" priority="163"/>
  </conditionalFormatting>
  <conditionalFormatting sqref="D575">
    <cfRule type="duplicateValues" dxfId="0" priority="162"/>
  </conditionalFormatting>
  <conditionalFormatting sqref="D576">
    <cfRule type="duplicateValues" dxfId="0" priority="161"/>
  </conditionalFormatting>
  <conditionalFormatting sqref="D577">
    <cfRule type="duplicateValues" dxfId="0" priority="160"/>
  </conditionalFormatting>
  <conditionalFormatting sqref="D578">
    <cfRule type="duplicateValues" dxfId="0" priority="159"/>
  </conditionalFormatting>
  <conditionalFormatting sqref="D579">
    <cfRule type="duplicateValues" dxfId="0" priority="158"/>
  </conditionalFormatting>
  <conditionalFormatting sqref="D580">
    <cfRule type="duplicateValues" dxfId="0" priority="157"/>
  </conditionalFormatting>
  <conditionalFormatting sqref="D581">
    <cfRule type="duplicateValues" dxfId="0" priority="156"/>
  </conditionalFormatting>
  <conditionalFormatting sqref="D582">
    <cfRule type="duplicateValues" dxfId="0" priority="155"/>
  </conditionalFormatting>
  <conditionalFormatting sqref="D583">
    <cfRule type="duplicateValues" dxfId="0" priority="154"/>
  </conditionalFormatting>
  <conditionalFormatting sqref="D584">
    <cfRule type="duplicateValues" dxfId="0" priority="153"/>
  </conditionalFormatting>
  <conditionalFormatting sqref="D585">
    <cfRule type="duplicateValues" dxfId="0" priority="152"/>
  </conditionalFormatting>
  <conditionalFormatting sqref="D586">
    <cfRule type="duplicateValues" dxfId="0" priority="151"/>
  </conditionalFormatting>
  <conditionalFormatting sqref="D587">
    <cfRule type="duplicateValues" dxfId="0" priority="150"/>
  </conditionalFormatting>
  <conditionalFormatting sqref="D588">
    <cfRule type="duplicateValues" dxfId="0" priority="149"/>
  </conditionalFormatting>
  <conditionalFormatting sqref="D589">
    <cfRule type="duplicateValues" dxfId="0" priority="148"/>
  </conditionalFormatting>
  <conditionalFormatting sqref="D590">
    <cfRule type="duplicateValues" dxfId="0" priority="147"/>
  </conditionalFormatting>
  <conditionalFormatting sqref="D591">
    <cfRule type="duplicateValues" dxfId="0" priority="146"/>
  </conditionalFormatting>
  <conditionalFormatting sqref="D592">
    <cfRule type="duplicateValues" dxfId="0" priority="145"/>
  </conditionalFormatting>
  <conditionalFormatting sqref="D593">
    <cfRule type="duplicateValues" dxfId="0" priority="144"/>
  </conditionalFormatting>
  <conditionalFormatting sqref="D594">
    <cfRule type="duplicateValues" dxfId="0" priority="143"/>
  </conditionalFormatting>
  <conditionalFormatting sqref="D595">
    <cfRule type="duplicateValues" dxfId="0" priority="142"/>
  </conditionalFormatting>
  <conditionalFormatting sqref="D596">
    <cfRule type="duplicateValues" dxfId="0" priority="141"/>
  </conditionalFormatting>
  <conditionalFormatting sqref="D597">
    <cfRule type="duplicateValues" dxfId="0" priority="140"/>
  </conditionalFormatting>
  <conditionalFormatting sqref="D598">
    <cfRule type="duplicateValues" dxfId="0" priority="139"/>
  </conditionalFormatting>
  <conditionalFormatting sqref="D599">
    <cfRule type="duplicateValues" dxfId="0" priority="138"/>
  </conditionalFormatting>
  <conditionalFormatting sqref="D600">
    <cfRule type="duplicateValues" dxfId="0" priority="137"/>
  </conditionalFormatting>
  <conditionalFormatting sqref="D601">
    <cfRule type="duplicateValues" dxfId="0" priority="136"/>
  </conditionalFormatting>
  <conditionalFormatting sqref="D602">
    <cfRule type="duplicateValues" dxfId="0" priority="135"/>
  </conditionalFormatting>
  <conditionalFormatting sqref="D603">
    <cfRule type="duplicateValues" dxfId="0" priority="134"/>
  </conditionalFormatting>
  <conditionalFormatting sqref="D604">
    <cfRule type="duplicateValues" dxfId="0" priority="133"/>
  </conditionalFormatting>
  <conditionalFormatting sqref="D605">
    <cfRule type="duplicateValues" dxfId="0" priority="132"/>
  </conditionalFormatting>
  <conditionalFormatting sqref="D606">
    <cfRule type="duplicateValues" dxfId="0" priority="131"/>
  </conditionalFormatting>
  <conditionalFormatting sqref="D607">
    <cfRule type="duplicateValues" dxfId="0" priority="130"/>
  </conditionalFormatting>
  <conditionalFormatting sqref="D608">
    <cfRule type="duplicateValues" dxfId="0" priority="129"/>
  </conditionalFormatting>
  <conditionalFormatting sqref="D609">
    <cfRule type="duplicateValues" dxfId="0" priority="128"/>
  </conditionalFormatting>
  <conditionalFormatting sqref="D610">
    <cfRule type="duplicateValues" dxfId="0" priority="127"/>
  </conditionalFormatting>
  <conditionalFormatting sqref="D611">
    <cfRule type="duplicateValues" dxfId="0" priority="126"/>
  </conditionalFormatting>
  <conditionalFormatting sqref="D612">
    <cfRule type="duplicateValues" dxfId="0" priority="125"/>
  </conditionalFormatting>
  <conditionalFormatting sqref="D613">
    <cfRule type="duplicateValues" dxfId="0" priority="124"/>
  </conditionalFormatting>
  <conditionalFormatting sqref="D614">
    <cfRule type="duplicateValues" dxfId="0" priority="123"/>
  </conditionalFormatting>
  <conditionalFormatting sqref="D615">
    <cfRule type="duplicateValues" dxfId="0" priority="122"/>
  </conditionalFormatting>
  <conditionalFormatting sqref="D616">
    <cfRule type="duplicateValues" dxfId="0" priority="121"/>
  </conditionalFormatting>
  <conditionalFormatting sqref="D617">
    <cfRule type="duplicateValues" dxfId="0" priority="120"/>
  </conditionalFormatting>
  <conditionalFormatting sqref="D618">
    <cfRule type="duplicateValues" dxfId="0" priority="119"/>
  </conditionalFormatting>
  <conditionalFormatting sqref="D619">
    <cfRule type="duplicateValues" dxfId="0" priority="118"/>
  </conditionalFormatting>
  <conditionalFormatting sqref="D620">
    <cfRule type="duplicateValues" dxfId="0" priority="117"/>
  </conditionalFormatting>
  <conditionalFormatting sqref="D621">
    <cfRule type="duplicateValues" dxfId="0" priority="116"/>
  </conditionalFormatting>
  <conditionalFormatting sqref="D622">
    <cfRule type="duplicateValues" dxfId="0" priority="115"/>
  </conditionalFormatting>
  <conditionalFormatting sqref="D623">
    <cfRule type="duplicateValues" dxfId="0" priority="114"/>
  </conditionalFormatting>
  <conditionalFormatting sqref="D624">
    <cfRule type="duplicateValues" dxfId="0" priority="113"/>
  </conditionalFormatting>
  <conditionalFormatting sqref="D625">
    <cfRule type="duplicateValues" dxfId="0" priority="112"/>
  </conditionalFormatting>
  <conditionalFormatting sqref="D626">
    <cfRule type="duplicateValues" dxfId="0" priority="111"/>
  </conditionalFormatting>
  <conditionalFormatting sqref="D627">
    <cfRule type="duplicateValues" dxfId="0" priority="110"/>
  </conditionalFormatting>
  <conditionalFormatting sqref="D628">
    <cfRule type="duplicateValues" dxfId="0" priority="109"/>
  </conditionalFormatting>
  <conditionalFormatting sqref="D629">
    <cfRule type="duplicateValues" dxfId="0" priority="108"/>
  </conditionalFormatting>
  <conditionalFormatting sqref="D630">
    <cfRule type="duplicateValues" dxfId="0" priority="107"/>
  </conditionalFormatting>
  <conditionalFormatting sqref="D631">
    <cfRule type="duplicateValues" dxfId="0" priority="106"/>
  </conditionalFormatting>
  <conditionalFormatting sqref="D632">
    <cfRule type="duplicateValues" dxfId="0" priority="105"/>
  </conditionalFormatting>
  <conditionalFormatting sqref="D633">
    <cfRule type="duplicateValues" dxfId="0" priority="104"/>
  </conditionalFormatting>
  <conditionalFormatting sqref="D634">
    <cfRule type="duplicateValues" dxfId="0" priority="103"/>
  </conditionalFormatting>
  <conditionalFormatting sqref="D635">
    <cfRule type="duplicateValues" dxfId="0" priority="102"/>
  </conditionalFormatting>
  <conditionalFormatting sqref="D636">
    <cfRule type="duplicateValues" dxfId="0" priority="101"/>
  </conditionalFormatting>
  <conditionalFormatting sqref="D637">
    <cfRule type="duplicateValues" dxfId="0" priority="100"/>
  </conditionalFormatting>
  <conditionalFormatting sqref="D638">
    <cfRule type="duplicateValues" dxfId="0" priority="99"/>
  </conditionalFormatting>
  <conditionalFormatting sqref="D639">
    <cfRule type="duplicateValues" dxfId="0" priority="98"/>
  </conditionalFormatting>
  <conditionalFormatting sqref="D640">
    <cfRule type="duplicateValues" dxfId="0" priority="97"/>
  </conditionalFormatting>
  <conditionalFormatting sqref="D641">
    <cfRule type="duplicateValues" dxfId="0" priority="96"/>
  </conditionalFormatting>
  <conditionalFormatting sqref="D642">
    <cfRule type="duplicateValues" dxfId="0" priority="95"/>
  </conditionalFormatting>
  <conditionalFormatting sqref="D643">
    <cfRule type="duplicateValues" dxfId="0" priority="94"/>
  </conditionalFormatting>
  <conditionalFormatting sqref="D644">
    <cfRule type="duplicateValues" dxfId="0" priority="93"/>
  </conditionalFormatting>
  <conditionalFormatting sqref="D645">
    <cfRule type="duplicateValues" dxfId="0" priority="92"/>
  </conditionalFormatting>
  <conditionalFormatting sqref="D646">
    <cfRule type="duplicateValues" dxfId="0" priority="91"/>
  </conditionalFormatting>
  <conditionalFormatting sqref="D647">
    <cfRule type="duplicateValues" dxfId="0" priority="90"/>
  </conditionalFormatting>
  <conditionalFormatting sqref="D648">
    <cfRule type="duplicateValues" dxfId="0" priority="89"/>
  </conditionalFormatting>
  <conditionalFormatting sqref="D649">
    <cfRule type="duplicateValues" dxfId="0" priority="88"/>
  </conditionalFormatting>
  <conditionalFormatting sqref="D650">
    <cfRule type="duplicateValues" dxfId="0" priority="87"/>
  </conditionalFormatting>
  <conditionalFormatting sqref="D651">
    <cfRule type="duplicateValues" dxfId="0" priority="86"/>
  </conditionalFormatting>
  <conditionalFormatting sqref="D652">
    <cfRule type="duplicateValues" dxfId="0" priority="85"/>
  </conditionalFormatting>
  <conditionalFormatting sqref="D653">
    <cfRule type="duplicateValues" dxfId="0" priority="84"/>
  </conditionalFormatting>
  <conditionalFormatting sqref="D654">
    <cfRule type="duplicateValues" dxfId="0" priority="83"/>
  </conditionalFormatting>
  <conditionalFormatting sqref="D655">
    <cfRule type="duplicateValues" dxfId="0" priority="82"/>
  </conditionalFormatting>
  <conditionalFormatting sqref="D656">
    <cfRule type="duplicateValues" dxfId="0" priority="81"/>
  </conditionalFormatting>
  <conditionalFormatting sqref="D657">
    <cfRule type="duplicateValues" dxfId="0" priority="80"/>
  </conditionalFormatting>
  <conditionalFormatting sqref="D658">
    <cfRule type="duplicateValues" dxfId="0" priority="79"/>
  </conditionalFormatting>
  <conditionalFormatting sqref="D659">
    <cfRule type="duplicateValues" dxfId="0" priority="78"/>
  </conditionalFormatting>
  <conditionalFormatting sqref="D660">
    <cfRule type="duplicateValues" dxfId="0" priority="77"/>
  </conditionalFormatting>
  <conditionalFormatting sqref="D661">
    <cfRule type="duplicateValues" dxfId="0" priority="76"/>
  </conditionalFormatting>
  <conditionalFormatting sqref="D662">
    <cfRule type="duplicateValues" dxfId="0" priority="75"/>
  </conditionalFormatting>
  <conditionalFormatting sqref="D663">
    <cfRule type="duplicateValues" dxfId="0" priority="74"/>
  </conditionalFormatting>
  <conditionalFormatting sqref="D664">
    <cfRule type="duplicateValues" dxfId="0" priority="73"/>
  </conditionalFormatting>
  <conditionalFormatting sqref="D665">
    <cfRule type="duplicateValues" dxfId="0" priority="72"/>
  </conditionalFormatting>
  <conditionalFormatting sqref="D666">
    <cfRule type="duplicateValues" dxfId="0" priority="71"/>
  </conditionalFormatting>
  <conditionalFormatting sqref="D667">
    <cfRule type="duplicateValues" dxfId="0" priority="70"/>
  </conditionalFormatting>
  <conditionalFormatting sqref="D668">
    <cfRule type="duplicateValues" dxfId="0" priority="69"/>
  </conditionalFormatting>
  <conditionalFormatting sqref="D669">
    <cfRule type="duplicateValues" dxfId="0" priority="68"/>
  </conditionalFormatting>
  <conditionalFormatting sqref="D670">
    <cfRule type="duplicateValues" dxfId="0" priority="67"/>
  </conditionalFormatting>
  <conditionalFormatting sqref="D671">
    <cfRule type="duplicateValues" dxfId="0" priority="66"/>
  </conditionalFormatting>
  <conditionalFormatting sqref="D672">
    <cfRule type="duplicateValues" dxfId="0" priority="65"/>
  </conditionalFormatting>
  <conditionalFormatting sqref="D673">
    <cfRule type="duplicateValues" dxfId="0" priority="64"/>
  </conditionalFormatting>
  <conditionalFormatting sqref="D674">
    <cfRule type="duplicateValues" dxfId="0" priority="63"/>
  </conditionalFormatting>
  <conditionalFormatting sqref="D675">
    <cfRule type="duplicateValues" dxfId="0" priority="62"/>
  </conditionalFormatting>
  <conditionalFormatting sqref="D676">
    <cfRule type="duplicateValues" dxfId="0" priority="61"/>
  </conditionalFormatting>
  <conditionalFormatting sqref="D677">
    <cfRule type="duplicateValues" dxfId="0" priority="60"/>
  </conditionalFormatting>
  <conditionalFormatting sqref="D678">
    <cfRule type="duplicateValues" dxfId="0" priority="59"/>
  </conditionalFormatting>
  <conditionalFormatting sqref="D679">
    <cfRule type="duplicateValues" dxfId="0" priority="58"/>
  </conditionalFormatting>
  <conditionalFormatting sqref="D680">
    <cfRule type="duplicateValues" dxfId="0" priority="57"/>
  </conditionalFormatting>
  <conditionalFormatting sqref="D681">
    <cfRule type="duplicateValues" dxfId="0" priority="56"/>
  </conditionalFormatting>
  <conditionalFormatting sqref="D682">
    <cfRule type="duplicateValues" dxfId="0" priority="55"/>
  </conditionalFormatting>
  <conditionalFormatting sqref="D683">
    <cfRule type="duplicateValues" dxfId="0" priority="54"/>
  </conditionalFormatting>
  <conditionalFormatting sqref="D684">
    <cfRule type="duplicateValues" dxfId="0" priority="53"/>
  </conditionalFormatting>
  <conditionalFormatting sqref="D685">
    <cfRule type="duplicateValues" dxfId="0" priority="52"/>
  </conditionalFormatting>
  <conditionalFormatting sqref="D686">
    <cfRule type="duplicateValues" dxfId="0" priority="51"/>
  </conditionalFormatting>
  <conditionalFormatting sqref="D687">
    <cfRule type="duplicateValues" dxfId="0" priority="50"/>
  </conditionalFormatting>
  <conditionalFormatting sqref="D688">
    <cfRule type="duplicateValues" dxfId="0" priority="49"/>
  </conditionalFormatting>
  <conditionalFormatting sqref="D689">
    <cfRule type="duplicateValues" dxfId="0" priority="48"/>
  </conditionalFormatting>
  <conditionalFormatting sqref="D690">
    <cfRule type="duplicateValues" dxfId="0" priority="47"/>
  </conditionalFormatting>
  <conditionalFormatting sqref="D691">
    <cfRule type="duplicateValues" dxfId="0" priority="46"/>
  </conditionalFormatting>
  <conditionalFormatting sqref="D692">
    <cfRule type="duplicateValues" dxfId="0" priority="45"/>
  </conditionalFormatting>
  <conditionalFormatting sqref="D693">
    <cfRule type="duplicateValues" dxfId="0" priority="44"/>
  </conditionalFormatting>
  <conditionalFormatting sqref="D694">
    <cfRule type="duplicateValues" dxfId="0" priority="43"/>
  </conditionalFormatting>
  <conditionalFormatting sqref="D695">
    <cfRule type="duplicateValues" dxfId="0" priority="42"/>
  </conditionalFormatting>
  <conditionalFormatting sqref="D696">
    <cfRule type="duplicateValues" dxfId="0" priority="41"/>
  </conditionalFormatting>
  <conditionalFormatting sqref="D697">
    <cfRule type="duplicateValues" dxfId="0" priority="40"/>
  </conditionalFormatting>
  <conditionalFormatting sqref="D698">
    <cfRule type="duplicateValues" dxfId="0" priority="39"/>
  </conditionalFormatting>
  <conditionalFormatting sqref="D699">
    <cfRule type="duplicateValues" dxfId="0" priority="38"/>
  </conditionalFormatting>
  <conditionalFormatting sqref="D700">
    <cfRule type="duplicateValues" dxfId="0" priority="37"/>
  </conditionalFormatting>
  <conditionalFormatting sqref="D701">
    <cfRule type="duplicateValues" dxfId="0" priority="36"/>
  </conditionalFormatting>
  <conditionalFormatting sqref="D702">
    <cfRule type="duplicateValues" dxfId="0" priority="35"/>
  </conditionalFormatting>
  <conditionalFormatting sqref="D703">
    <cfRule type="duplicateValues" dxfId="0" priority="34"/>
  </conditionalFormatting>
  <conditionalFormatting sqref="D704">
    <cfRule type="duplicateValues" dxfId="0" priority="33"/>
  </conditionalFormatting>
  <conditionalFormatting sqref="D705">
    <cfRule type="duplicateValues" dxfId="0" priority="32"/>
  </conditionalFormatting>
  <conditionalFormatting sqref="D706">
    <cfRule type="duplicateValues" dxfId="0" priority="31"/>
  </conditionalFormatting>
  <conditionalFormatting sqref="D707">
    <cfRule type="duplicateValues" dxfId="0" priority="30"/>
  </conditionalFormatting>
  <conditionalFormatting sqref="D708">
    <cfRule type="duplicateValues" dxfId="0" priority="29"/>
  </conditionalFormatting>
  <conditionalFormatting sqref="D709">
    <cfRule type="duplicateValues" dxfId="0" priority="28"/>
  </conditionalFormatting>
  <conditionalFormatting sqref="D710">
    <cfRule type="duplicateValues" dxfId="0" priority="27"/>
  </conditionalFormatting>
  <conditionalFormatting sqref="D711">
    <cfRule type="duplicateValues" dxfId="0" priority="26"/>
  </conditionalFormatting>
  <conditionalFormatting sqref="D712">
    <cfRule type="duplicateValues" dxfId="0" priority="25"/>
  </conditionalFormatting>
  <conditionalFormatting sqref="D713">
    <cfRule type="duplicateValues" dxfId="0" priority="24"/>
  </conditionalFormatting>
  <conditionalFormatting sqref="D714">
    <cfRule type="duplicateValues" dxfId="0" priority="23"/>
  </conditionalFormatting>
  <conditionalFormatting sqref="D715">
    <cfRule type="duplicateValues" dxfId="0" priority="22"/>
  </conditionalFormatting>
  <conditionalFormatting sqref="D716">
    <cfRule type="duplicateValues" dxfId="0" priority="21"/>
  </conditionalFormatting>
  <conditionalFormatting sqref="D717">
    <cfRule type="duplicateValues" dxfId="0" priority="20"/>
  </conditionalFormatting>
  <conditionalFormatting sqref="D718">
    <cfRule type="duplicateValues" dxfId="0" priority="19"/>
  </conditionalFormatting>
  <conditionalFormatting sqref="D719">
    <cfRule type="duplicateValues" dxfId="0" priority="18"/>
  </conditionalFormatting>
  <conditionalFormatting sqref="D1103">
    <cfRule type="duplicateValues" dxfId="0" priority="17"/>
  </conditionalFormatting>
  <conditionalFormatting sqref="D1113">
    <cfRule type="duplicateValues" dxfId="0" priority="16"/>
  </conditionalFormatting>
  <conditionalFormatting sqref="D204:D205">
    <cfRule type="duplicateValues" dxfId="0" priority="680"/>
  </conditionalFormatting>
  <conditionalFormatting sqref="D226:D227">
    <cfRule type="duplicateValues" dxfId="0" priority="414"/>
  </conditionalFormatting>
  <conditionalFormatting sqref="D1456:D1511">
    <cfRule type="duplicateValues" dxfId="1" priority="1"/>
  </conditionalFormatting>
  <conditionalFormatting sqref="D1745 D1750:D1752">
    <cfRule type="expression" dxfId="0" priority="8">
      <formula>AND(COUNTIF($D$73,D1745)+COUNTIF($D$74:$D$75,D1745)+COUNTIF($D$76:$D$79,D1745)+COUNTIF($D$80:$D$82,D1745)+COUNTIF($D$83:$D$90,D1745)&gt;1,NOT(ISBLANK(D1745)))</formula>
    </cfRule>
  </conditionalFormatting>
  <dataValidations count="71">
    <dataValidation type="list" allowBlank="1" showInputMessage="1" showErrorMessage="1" sqref="G172">
      <formula1>[44]Sheet2!#REF!</formula1>
    </dataValidation>
    <dataValidation type="list" allowBlank="1" showInputMessage="1" showErrorMessage="1" sqref="G9 G32 G34 G36 G43 G45 G58 G59 G60 G64 G65 G66 G78 G19:G20 G23:G26 G30:G31 G37:G41 G47:G50 G51:G52 G54:G57 G68:G71">
      <formula1>[10]Sheet2!#REF!</formula1>
    </dataValidation>
    <dataValidation type="list" allowBlank="1" showInputMessage="1" showErrorMessage="1" sqref="G100 G101 G93:G94 G95:G96 G102:G105">
      <formula1>[15]Sheet2!#REF!</formula1>
    </dataValidation>
    <dataValidation type="list" allowBlank="1" showInputMessage="1" showErrorMessage="1" sqref="F5 F6 F7 F8 F9 F10 F13 F14 F16 F17 F18 F21 F27 F28 F29 F32 F33 F34 F35 F42 F43 F44 F45 F46 F53 F62 F63 F67 F73 F74 F75 F76 F79 F80 F81 F82 F83 F84 F85 F86 F87 F88 F90 F91 F92 F94 F97 F98 F118 F119 F120 F121 F122 F125 F126 F130 F131 F132 F133 F134 F135 F136 F140 F141 F143 F144 F145 F146 F147 F148 F149 F150 F151 F157 F158 F159 F160 F161 F162 F163 F165 F166 F167 F172 F173 F174 F175 F178 F179 F180 F181 F184 F185 F186 F189 F190 F191 F192 F193 F194 F195 F196 F197 F203 F204 F205 F206 F210 F211 F212 F213 F214 F215 F216 F217 F220 F221 F222 F225 F226 F227 F228 F232 F233 F237 F238 F243 F244 F245 F246 F247 F320 F321 F322 F323 F328 F335 F341 F342 F343 F347 F348 F349 F350 F351 F352 F355 F356 F490 F802 F815 F819 F1106 F1289 F1728 F1761 F11:F12 F22:F26 F30:F31 F36:F41 F47:F50 F51:F52 F54:F60 F64:F66 F68:F71 F77:F78 F95:F96 F100:F104 F105:F110 F111:F113 F114:F115 F116:F117 F123:F124 F127:F129 F137:F139 F152:F156 F168:F169 F170:F171 F176:F177 F182:F183 F187:F188 F198:F200 F201:F202 F218:F219 F229:F231 F234:F236 F239:F240 F241:F242 F248:F267 F268:F270 F271:F278 F279:F289 F290:F299 F300:F308 F309:F310 F311:F315 F316:F319 F324:F326 F329:F330 F331:F332 F336:F340 F344:F346 F353:F354 F357:F481 F484:F488 F492:F618 F622:F719 F720:F788 F789:F801 F803:F813 F834:F857 F861:F1097 F1099:F1104 F1111:F1113 F1115:F1116 F1120:F1138 F1139:F1179 F1181:F1229 F1230:F1231 F1232:F1287 F1294:F1545 F1548:F1549 F1552:F1593 F1594:F1618 F1620:F1624 F1626:F1639 F1642:F1646 F1648:F1673 F1674:F1683 F1684:F1692 F1694:F1726 F1730:F1752 F1755:F1760 F1762:F1767 F1768:F1792 F1793:F1797">
      <formula1>"是,否"</formula1>
    </dataValidation>
    <dataValidation type="list" allowBlank="1" showInputMessage="1" showErrorMessage="1" sqref="G7 G77">
      <formula1>[6]Sheet2!#REF!</formula1>
    </dataValidation>
    <dataValidation type="list" allowBlank="1" showInputMessage="1" showErrorMessage="1" sqref="G211">
      <formula1>[52]Sheet2!#REF!</formula1>
    </dataValidation>
    <dataValidation type="list" allowBlank="1" showInputMessage="1" showErrorMessage="1" sqref="G176:G177">
      <formula1>[39]Sheet2!#REF!</formula1>
    </dataValidation>
    <dataValidation type="list" allowBlank="1" showInputMessage="1" showErrorMessage="1" sqref="G227">
      <formula1>[55]Sheet2!#REF!</formula1>
    </dataValidation>
    <dataValidation type="list" allowBlank="1" showInputMessage="1" showErrorMessage="1" sqref="G11 G12 G17 G18 G33 G46 G63 G73 G74 G75 G79 G80 G81 G84 G87 G90 G91 G97 G98 G114 G115 G116 G117 G131 G133 G136 F142 G111:G113">
      <formula1>[25]Sheet2!#REF!</formula1>
    </dataValidation>
    <dataValidation type="list" allowBlank="1" showInputMessage="1" showErrorMessage="1" sqref="E8 E9 E10 E18 E19 E28 E29 E32 E33 E34 E35 E42 E43 E44 E45 E46 E53 E60 E63 E67 E72 E73 E74 E77 E78 E79 E83 E86 E94 E95 E114 E115 E118 E119 E120 E130 E131 E134 E135 E136 E139 E140 E141 E142 E143 E144 E145 E146 E147 E148 E475 E1766 E1792 E5:E7 E11:E12 E13:E15 E16:E17 E20:E22 E23:E25 E26:E27 E30:E31 E36:E41 E47:E50 E51:E52 E54:E59 E61:E62 E64:E66 E68:E71 E75:E76 E80:E82 E84:E85 E87:E91 E92:E93 E96:E99 E100:E104 E105:E107 E108:E109 E110:E113 E116:E117 E121:E122 E123:E124 E125:E126 E127:E129 E132:E133 E137:E138 E149:E197 E198:E200 E201:E321 E322:E342 E343:E350 E351:E352 E353:E356 E361:E418 E440:E465 E1761:E1765 E1767:E1791 E1793:E1797">
      <formula1>"脱贫劳动力,脱贫不稳定户,边缘易致贫户,突发严重困难户"</formula1>
    </dataValidation>
    <dataValidation type="list" allowBlank="1" showInputMessage="1" showErrorMessage="1" sqref="G201:G202">
      <formula1>[46]Sheet2!#REF!</formula1>
    </dataValidation>
    <dataValidation type="list" allowBlank="1" showInputMessage="1" showErrorMessage="1" sqref="G8">
      <formula1>[9]Sheet2!#REF!</formula1>
    </dataValidation>
    <dataValidation type="list" allowBlank="1" showInputMessage="1" showErrorMessage="1" sqref="G10">
      <formula1>[28]Sheet2!#REF!</formula1>
    </dataValidation>
    <dataValidation type="list" allowBlank="1" showInputMessage="1" showErrorMessage="1" sqref="G13">
      <formula1>[19]Sheet2!#REF!</formula1>
    </dataValidation>
    <dataValidation type="list" allowBlank="1" showInputMessage="1" showErrorMessage="1" sqref="I13">
      <formula1>"800,600,400,300"</formula1>
    </dataValidation>
    <dataValidation type="list" allowBlank="1" showInputMessage="1" showErrorMessage="1" sqref="G14">
      <formula1>[20]Sheet2!#REF!</formula1>
    </dataValidation>
    <dataValidation type="list" allowBlank="1" showInputMessage="1" showErrorMessage="1" sqref="G180">
      <formula1>[2]Sheet2!#REF!</formula1>
    </dataValidation>
    <dataValidation type="list" allowBlank="1" showInputMessage="1" showErrorMessage="1" sqref="G181">
      <formula1>[42]Sheet2!#REF!</formula1>
    </dataValidation>
    <dataValidation type="list" allowBlank="1" showInputMessage="1" showErrorMessage="1" sqref="G21 G22 G135 G137 G140">
      <formula1>[21]Sheet2!#REF!</formula1>
    </dataValidation>
    <dataValidation type="list" allowBlank="1" showInputMessage="1" showErrorMessage="1" sqref="G16 G72 G86 G89">
      <formula1>[16]Sheet2!#REF!</formula1>
    </dataValidation>
    <dataValidation type="list" allowBlank="1" showInputMessage="1" showErrorMessage="1" sqref="G27">
      <formula1>[14]Sheet2!#REF!</formula1>
    </dataValidation>
    <dataValidation type="list" allowBlank="1" showInputMessage="1" showErrorMessage="1" sqref="G397">
      <formula1>#REF!</formula1>
    </dataValidation>
    <dataValidation type="list" allowBlank="1" showInputMessage="1" showErrorMessage="1" sqref="G35 G28:G29">
      <formula1>[22]Sheet2!#REF!</formula1>
    </dataValidation>
    <dataValidation type="list" allowBlank="1" showInputMessage="1" showErrorMessage="1" sqref="G42 G76 G82 G83">
      <formula1>[1]Sheet2!#REF!</formula1>
    </dataValidation>
    <dataValidation type="list" allowBlank="1" showInputMessage="1" showErrorMessage="1" sqref="G174">
      <formula1>[37]Sheet2!#REF!</formula1>
    </dataValidation>
    <dataValidation type="list" allowBlank="1" showInputMessage="1" showErrorMessage="1" sqref="G44">
      <formula1>[23]Sheet2!#REF!</formula1>
    </dataValidation>
    <dataValidation type="list" allowBlank="1" showInputMessage="1" showErrorMessage="1" sqref="G53">
      <formula1>[24]Sheet2!#REF!</formula1>
    </dataValidation>
    <dataValidation type="list" allowBlank="1" showInputMessage="1" showErrorMessage="1" sqref="G1180 G619:G620 G720:G758 G760:G788">
      <formula1/>
    </dataValidation>
    <dataValidation type="list" allowBlank="1" showInputMessage="1" showErrorMessage="1" sqref="G62">
      <formula1>[27]Sheet2!#REF!</formula1>
    </dataValidation>
    <dataValidation type="list" allowBlank="1" showInputMessage="1" showErrorMessage="1" sqref="G5:G6">
      <formula1>[5]Sheet2!#REF!</formula1>
    </dataValidation>
    <dataValidation type="list" allowBlank="1" showInputMessage="1" showErrorMessage="1" sqref="F72 F89">
      <formula1>$P$16:$P$17</formula1>
    </dataValidation>
    <dataValidation type="list" allowBlank="1" showInputMessage="1" showErrorMessage="1" sqref="G215">
      <formula1>[48]Sheet2!#REF!</formula1>
    </dataValidation>
    <dataValidation type="list" allowBlank="1" showInputMessage="1" showErrorMessage="1" sqref="G175">
      <formula1>[38]Sheet2!#REF!</formula1>
    </dataValidation>
    <dataValidation type="list" allowBlank="1" showInputMessage="1" showErrorMessage="1" sqref="G85">
      <formula1>[13]Sheet2!#REF!</formula1>
    </dataValidation>
    <dataValidation type="list" allowBlank="1" showInputMessage="1" showErrorMessage="1" sqref="G88 G144">
      <formula1>[11]Sheet2!#REF!</formula1>
    </dataValidation>
    <dataValidation type="list" allowBlank="1" showInputMessage="1" showErrorMessage="1" sqref="G92">
      <formula1>[18]Sheet2!#REF!</formula1>
    </dataValidation>
    <dataValidation type="list" allowBlank="1" showInputMessage="1" showErrorMessage="1" sqref="G118">
      <formula1>[8]Sheet2!#REF!</formula1>
    </dataValidation>
    <dataValidation type="list" allowBlank="1" showInputMessage="1" showErrorMessage="1" sqref="G124 G127 G128 G121:G122 G125:G126">
      <formula1>[7]Sheet2!#REF!</formula1>
    </dataValidation>
    <dataValidation type="list" allowBlank="1" showInputMessage="1" showErrorMessage="1" sqref="G132">
      <formula1>[12]Sheet2!#REF!</formula1>
    </dataValidation>
    <dataValidation type="list" allowBlank="1" showInputMessage="1" showErrorMessage="1" sqref="E357:E360 E419:E439 E466:E474">
      <formula1>"脱贫户,脱贫不稳定户,边缘易致贫户,突发严重困难户"</formula1>
    </dataValidation>
    <dataValidation type="list" allowBlank="1" showInputMessage="1" showErrorMessage="1" sqref="G134 G147">
      <formula1>[29]Sheet2!#REF!</formula1>
    </dataValidation>
    <dataValidation type="list" allowBlank="1" showInputMessage="1" showErrorMessage="1" sqref="G146">
      <formula1>[31]Sheet2!#REF!</formula1>
    </dataValidation>
    <dataValidation type="list" allowBlank="1" showInputMessage="1" showErrorMessage="1" sqref="G148">
      <formula1>[30]Sheet2!#REF!</formula1>
    </dataValidation>
    <dataValidation type="list" allowBlank="1" showInputMessage="1" showErrorMessage="1" sqref="G149 G150 G151">
      <formula1>[35]Sheet2!#REF!</formula1>
    </dataValidation>
    <dataValidation type="list" allowBlank="1" showInputMessage="1" showErrorMessage="1" sqref="G173">
      <formula1>[36]Sheet2!#REF!</formula1>
    </dataValidation>
    <dataValidation type="list" allowBlank="1" showInputMessage="1" showErrorMessage="1" sqref="G182:G183">
      <formula1>[43]Sheet2!#REF!</formula1>
    </dataValidation>
    <dataValidation type="list" allowBlank="1" showInputMessage="1" showErrorMessage="1" sqref="G178">
      <formula1>[40]Sheet2!#REF!</formula1>
    </dataValidation>
    <dataValidation type="list" allowBlank="1" showInputMessage="1" showErrorMessage="1" sqref="G179">
      <formula1>[41]Sheet2!#REF!</formula1>
    </dataValidation>
    <dataValidation type="list" allowBlank="1" showInputMessage="1" showErrorMessage="1" sqref="G200">
      <formula1>[61]Sheet2!#REF!</formula1>
    </dataValidation>
    <dataValidation type="list" allowBlank="1" showInputMessage="1" showErrorMessage="1" sqref="G206">
      <formula1>[33]Sheet2!#REF!</formula1>
    </dataValidation>
    <dataValidation type="list" allowBlank="1" showInputMessage="1" showErrorMessage="1" sqref="G1618">
      <formula1>[277]Sheet2!#REF!</formula1>
    </dataValidation>
    <dataValidation type="list" allowBlank="1" showInputMessage="1" showErrorMessage="1" sqref="G210">
      <formula1>[34]Sheet2!#REF!</formula1>
    </dataValidation>
    <dataValidation type="list" allowBlank="1" showInputMessage="1" showErrorMessage="1" sqref="G228:G231">
      <formula1>[56]Sheet2!#REF!</formula1>
    </dataValidation>
    <dataValidation type="list" allowBlank="1" showInputMessage="1" showErrorMessage="1" sqref="G212 G213 G214">
      <formula1>[47]Sheet2!#REF!</formula1>
    </dataValidation>
    <dataValidation type="list" allowBlank="1" showInputMessage="1" showErrorMessage="1" sqref="G220 G221 G222">
      <formula1>[51]Sheet2!#REF!</formula1>
    </dataValidation>
    <dataValidation type="list" allowBlank="1" showInputMessage="1" showErrorMessage="1" sqref="G235">
      <formula1>[58]Sheet2!#REF!</formula1>
    </dataValidation>
    <dataValidation type="list" allowBlank="1" showInputMessage="1" showErrorMessage="1" sqref="G225">
      <formula1>[53]Sheet2!#REF!</formula1>
    </dataValidation>
    <dataValidation type="list" allowBlank="1" showInputMessage="1" showErrorMessage="1" sqref="G216:G217">
      <formula1>[49]Sheet2!#REF!</formula1>
    </dataValidation>
    <dataValidation type="list" allowBlank="1" showInputMessage="1" showErrorMessage="1" sqref="G226">
      <formula1>[54]Sheet2!#REF!</formula1>
    </dataValidation>
    <dataValidation type="list" allowBlank="1" showInputMessage="1" showErrorMessage="1" sqref="G232">
      <formula1>[57]Sheet2!#REF!</formula1>
    </dataValidation>
    <dataValidation type="list" allowBlank="1" showInputMessage="1" showErrorMessage="1" sqref="G247 G264 G270 G248:G263 G265:G267 G268:G269 G271:G278 G279:G289 G290:G299 G300:G308 G309:G310 G311:G315 G316:G319">
      <formula1>[59]Sheet2!#REF!</formula1>
    </dataValidation>
    <dataValidation type="list" allowBlank="1" showInputMessage="1" showErrorMessage="1" sqref="G320 G321">
      <formula1>[60]Sheet2!#REF!</formula1>
    </dataValidation>
    <dataValidation type="list" allowBlank="1" showInputMessage="1" sqref="E476:E1639">
      <formula1>"脱贫户,脱贫不稳定户,边缘易致贫户,突发严重困难户"</formula1>
    </dataValidation>
    <dataValidation type="list" allowBlank="1" showInputMessage="1" showErrorMessage="1" sqref="G184:G185">
      <formula1>[45]Sheet2!#REF!</formula1>
    </dataValidation>
    <dataValidation type="list" allowBlank="1" showInputMessage="1" showErrorMessage="1" sqref="G204:G205">
      <formula1>[32]Sheet2!#REF!</formula1>
    </dataValidation>
    <dataValidation type="list" allowBlank="1" showInputMessage="1" showErrorMessage="1" sqref="G218:G219">
      <formula1>[50]Sheet2!#REF!</formula1>
    </dataValidation>
    <dataValidation type="list" allowBlank="1" showInputMessage="1" showErrorMessage="1" sqref="G357:G360">
      <formula1>[160]Sheet2!#REF!</formula1>
    </dataValidation>
    <dataValidation type="list" allowBlank="1" showInputMessage="1" showErrorMessage="1" sqref="G970:G1095">
      <formula1>[171]Sheet2!#REF!</formula1>
    </dataValidation>
    <dataValidation type="list" allowBlank="1" showInputMessage="1" showErrorMessage="1" sqref="G1620:G1624">
      <formula1>[278]Sheet2!#REF!</formula1>
    </dataValidation>
    <dataValidation type="list" allowBlank="1" showInputMessage="1" showErrorMessage="1" sqref="G1761:G1767 G1768:G1792">
      <formula1>[286]Sheet2!#REF!</formula1>
    </dataValidation>
    <dataValidation type="list" allowBlank="1" showInputMessage="1" showErrorMessage="1" sqref="G1793:G1797">
      <formula1>[285]Sheet2!#REF!</formula1>
    </dataValidation>
  </dataValidations>
  <printOptions horizontalCentered="1"/>
  <pageMargins left="0.550694444444444" right="0.550694444444444" top="0.275" bottom="0.314583333333333" header="0.156944444444444" footer="0.0388888888888889"/>
  <pageSetup paperSize="9" scale="62" fitToHeight="0" orientation="landscape" horizontalDpi="600"/>
  <headerFooter alignWithMargins="0">
    <oddFooter>&amp;C第 &amp;P 页，共 &amp;N 页</oddFooter>
  </headerFooter>
  <ignoredErrors>
    <ignoredError sqref="F89" listDataValidation="1"/>
  </ignoredErrors>
  <drawing r:id="rId1"/>
  <legacyDrawing r:id="rId2"/>
  <oleObjects>
    <mc:AlternateContent xmlns:mc="http://schemas.openxmlformats.org/markup-compatibility/2006">
      <mc:Choice Requires="x14">
        <oleObject shapeId="1025" progId="StaticMetafile" r:id="rId3">
          <objectPr defaultSize="0" r:id="rId4">
            <anchor moveWithCells="1" sizeWithCells="1">
              <from>
                <xdr:col>6</xdr:col>
                <xdr:colOff>1414145</xdr:colOff>
                <xdr:row>678</xdr:row>
                <xdr:rowOff>352425</xdr:rowOff>
              </from>
              <to>
                <xdr:col>7</xdr:col>
                <xdr:colOff>223520</xdr:colOff>
                <xdr:row>679</xdr:row>
                <xdr:rowOff>171450</xdr:rowOff>
              </to>
            </anchor>
          </objectPr>
        </oleObject>
      </mc:Choice>
      <mc:Fallback>
        <oleObject shapeId="1025" progId="StaticMetafile" r:id="rId3"/>
      </mc:Fallback>
    </mc:AlternateContent>
    <mc:AlternateContent xmlns:mc="http://schemas.openxmlformats.org/markup-compatibility/2006">
      <mc:Choice Requires="x14">
        <oleObject shapeId="1026" progId="StaticMetafile" r:id="rId5">
          <objectPr defaultSize="0" r:id="rId4">
            <anchor moveWithCells="1" sizeWithCells="1">
              <from>
                <xdr:col>6</xdr:col>
                <xdr:colOff>1414145</xdr:colOff>
                <xdr:row>677</xdr:row>
                <xdr:rowOff>352425</xdr:rowOff>
              </from>
              <to>
                <xdr:col>7</xdr:col>
                <xdr:colOff>223520</xdr:colOff>
                <xdr:row>678</xdr:row>
                <xdr:rowOff>171450</xdr:rowOff>
              </to>
            </anchor>
          </objectPr>
        </oleObject>
      </mc:Choice>
      <mc:Fallback>
        <oleObject shapeId="1026" progId="StaticMetafile"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workbookViewId="0">
      <selection activeCell="D34" sqref="D34"/>
    </sheetView>
  </sheetViews>
  <sheetFormatPr defaultColWidth="9" defaultRowHeight="14.25" outlineLevelCol="2"/>
  <cols>
    <col min="1" max="1" width="17" customWidth="1"/>
  </cols>
  <sheetData>
    <row r="1" spans="1:3">
      <c r="A1" t="s">
        <v>1951</v>
      </c>
      <c r="B1" t="s">
        <v>1952</v>
      </c>
      <c r="C1" t="s">
        <v>1953</v>
      </c>
    </row>
    <row r="2" spans="1:3">
      <c r="A2" s="1" t="s">
        <v>800</v>
      </c>
      <c r="B2" s="1">
        <v>800</v>
      </c>
      <c r="C2" s="1">
        <f t="shared" ref="C2:C35" si="0">B2/2</f>
        <v>400</v>
      </c>
    </row>
    <row r="3" spans="1:3">
      <c r="A3" s="1" t="s">
        <v>55</v>
      </c>
      <c r="B3" s="1">
        <v>800</v>
      </c>
      <c r="C3" s="1">
        <f t="shared" si="0"/>
        <v>400</v>
      </c>
    </row>
    <row r="4" spans="1:3">
      <c r="A4" s="1" t="s">
        <v>899</v>
      </c>
      <c r="B4" s="1">
        <v>800</v>
      </c>
      <c r="C4" s="1">
        <f t="shared" si="0"/>
        <v>400</v>
      </c>
    </row>
    <row r="5" spans="1:3">
      <c r="A5" s="1" t="s">
        <v>301</v>
      </c>
      <c r="B5" s="1">
        <v>800</v>
      </c>
      <c r="C5" s="1">
        <f t="shared" si="0"/>
        <v>400</v>
      </c>
    </row>
    <row r="6" spans="1:3">
      <c r="A6" s="1" t="s">
        <v>1941</v>
      </c>
      <c r="B6" s="1">
        <v>800</v>
      </c>
      <c r="C6" s="1">
        <f t="shared" si="0"/>
        <v>400</v>
      </c>
    </row>
    <row r="7" spans="1:3">
      <c r="A7" s="1" t="s">
        <v>1954</v>
      </c>
      <c r="B7" s="1">
        <v>800</v>
      </c>
      <c r="C7" s="1">
        <f t="shared" si="0"/>
        <v>400</v>
      </c>
    </row>
    <row r="8" spans="1:3">
      <c r="A8" s="1" t="s">
        <v>1173</v>
      </c>
      <c r="B8" s="1">
        <v>800</v>
      </c>
      <c r="C8" s="1">
        <f t="shared" si="0"/>
        <v>400</v>
      </c>
    </row>
    <row r="9" spans="1:3">
      <c r="A9" s="1" t="s">
        <v>678</v>
      </c>
      <c r="B9" s="1">
        <v>800</v>
      </c>
      <c r="C9" s="1">
        <f t="shared" si="0"/>
        <v>400</v>
      </c>
    </row>
    <row r="10" spans="1:3">
      <c r="A10" s="1" t="s">
        <v>351</v>
      </c>
      <c r="B10" s="1">
        <v>800</v>
      </c>
      <c r="C10" s="1">
        <f t="shared" si="0"/>
        <v>400</v>
      </c>
    </row>
    <row r="11" spans="1:3">
      <c r="A11" s="1" t="s">
        <v>1955</v>
      </c>
      <c r="B11" s="1">
        <v>800</v>
      </c>
      <c r="C11" s="1">
        <f t="shared" si="0"/>
        <v>400</v>
      </c>
    </row>
    <row r="12" spans="1:3">
      <c r="A12" s="1" t="s">
        <v>455</v>
      </c>
      <c r="B12" s="1">
        <v>800</v>
      </c>
      <c r="C12" s="1">
        <f t="shared" si="0"/>
        <v>400</v>
      </c>
    </row>
    <row r="13" spans="1:3">
      <c r="A13" s="1" t="s">
        <v>38</v>
      </c>
      <c r="B13" s="1">
        <v>600</v>
      </c>
      <c r="C13" s="1">
        <f t="shared" si="0"/>
        <v>300</v>
      </c>
    </row>
    <row r="14" spans="1:3">
      <c r="A14" s="1" t="s">
        <v>118</v>
      </c>
      <c r="B14" s="1">
        <v>800</v>
      </c>
      <c r="C14" s="1">
        <f t="shared" si="0"/>
        <v>400</v>
      </c>
    </row>
    <row r="15" spans="1:3">
      <c r="A15" s="1" t="s">
        <v>98</v>
      </c>
      <c r="B15" s="1">
        <v>800</v>
      </c>
      <c r="C15" s="1">
        <f t="shared" si="0"/>
        <v>400</v>
      </c>
    </row>
    <row r="16" spans="1:3">
      <c r="A16" s="1" t="s">
        <v>69</v>
      </c>
      <c r="B16" s="1">
        <v>800</v>
      </c>
      <c r="C16" s="1">
        <f t="shared" si="0"/>
        <v>400</v>
      </c>
    </row>
    <row r="17" spans="1:3">
      <c r="A17" s="1" t="s">
        <v>295</v>
      </c>
      <c r="B17" s="1">
        <v>600</v>
      </c>
      <c r="C17" s="1">
        <f t="shared" si="0"/>
        <v>300</v>
      </c>
    </row>
    <row r="18" spans="1:3">
      <c r="A18" s="1" t="s">
        <v>78</v>
      </c>
      <c r="B18" s="1">
        <v>800</v>
      </c>
      <c r="C18" s="1">
        <f t="shared" si="0"/>
        <v>400</v>
      </c>
    </row>
    <row r="19" spans="1:3">
      <c r="A19" s="1" t="s">
        <v>1956</v>
      </c>
      <c r="B19" s="1">
        <v>800</v>
      </c>
      <c r="C19" s="1">
        <f t="shared" si="0"/>
        <v>400</v>
      </c>
    </row>
    <row r="20" spans="1:3">
      <c r="A20" s="1" t="s">
        <v>1957</v>
      </c>
      <c r="B20" s="1">
        <v>800</v>
      </c>
      <c r="C20" s="1">
        <f t="shared" si="0"/>
        <v>400</v>
      </c>
    </row>
    <row r="21" spans="1:3">
      <c r="A21" s="1" t="s">
        <v>1958</v>
      </c>
      <c r="B21" s="1">
        <v>800</v>
      </c>
      <c r="C21" s="1">
        <f t="shared" si="0"/>
        <v>400</v>
      </c>
    </row>
    <row r="22" spans="1:3">
      <c r="A22" s="1" t="s">
        <v>437</v>
      </c>
      <c r="B22" s="1">
        <v>800</v>
      </c>
      <c r="C22" s="1">
        <f t="shared" si="0"/>
        <v>400</v>
      </c>
    </row>
    <row r="23" spans="1:3">
      <c r="A23" s="1" t="s">
        <v>32</v>
      </c>
      <c r="B23" s="1">
        <v>800</v>
      </c>
      <c r="C23" s="1">
        <f t="shared" si="0"/>
        <v>400</v>
      </c>
    </row>
    <row r="24" spans="1:3">
      <c r="A24" s="1" t="s">
        <v>48</v>
      </c>
      <c r="B24" s="1">
        <v>800</v>
      </c>
      <c r="C24" s="1">
        <f t="shared" si="0"/>
        <v>400</v>
      </c>
    </row>
    <row r="25" spans="1:3">
      <c r="A25" s="1" t="s">
        <v>19</v>
      </c>
      <c r="B25" s="1">
        <v>600</v>
      </c>
      <c r="C25" s="1">
        <f t="shared" si="0"/>
        <v>300</v>
      </c>
    </row>
    <row r="26" spans="1:3">
      <c r="A26" s="1" t="s">
        <v>29</v>
      </c>
      <c r="B26" s="1">
        <v>800</v>
      </c>
      <c r="C26" s="1">
        <f t="shared" si="0"/>
        <v>400</v>
      </c>
    </row>
    <row r="27" spans="1:3">
      <c r="A27" s="1" t="s">
        <v>464</v>
      </c>
      <c r="B27" s="1">
        <v>800</v>
      </c>
      <c r="C27" s="1">
        <f t="shared" si="0"/>
        <v>400</v>
      </c>
    </row>
    <row r="28" spans="1:3">
      <c r="A28" s="1" t="s">
        <v>1445</v>
      </c>
      <c r="B28" s="1">
        <v>800</v>
      </c>
      <c r="C28" s="1">
        <f t="shared" si="0"/>
        <v>400</v>
      </c>
    </row>
    <row r="29" spans="1:3">
      <c r="A29" s="1" t="s">
        <v>1959</v>
      </c>
      <c r="B29" s="1">
        <v>800</v>
      </c>
      <c r="C29" s="1">
        <f t="shared" si="0"/>
        <v>400</v>
      </c>
    </row>
    <row r="30" spans="1:3">
      <c r="A30" s="1" t="s">
        <v>1168</v>
      </c>
      <c r="B30" s="1">
        <v>800</v>
      </c>
      <c r="C30" s="1">
        <f t="shared" si="0"/>
        <v>400</v>
      </c>
    </row>
    <row r="31" spans="1:3">
      <c r="A31" s="1" t="s">
        <v>340</v>
      </c>
      <c r="B31" s="1">
        <v>800</v>
      </c>
      <c r="C31" s="1">
        <f t="shared" si="0"/>
        <v>400</v>
      </c>
    </row>
    <row r="32" spans="1:3">
      <c r="A32" s="2" t="s">
        <v>1960</v>
      </c>
      <c r="B32" s="1">
        <v>800</v>
      </c>
      <c r="C32" s="1">
        <f t="shared" si="0"/>
        <v>400</v>
      </c>
    </row>
    <row r="33" spans="1:3">
      <c r="A33" s="2" t="s">
        <v>1816</v>
      </c>
      <c r="B33" s="1">
        <v>800</v>
      </c>
      <c r="C33" s="1">
        <f t="shared" si="0"/>
        <v>400</v>
      </c>
    </row>
    <row r="34" spans="1:3">
      <c r="A34" s="1" t="s">
        <v>1961</v>
      </c>
      <c r="B34" s="1">
        <v>800</v>
      </c>
      <c r="C34" s="1">
        <f t="shared" si="0"/>
        <v>400</v>
      </c>
    </row>
    <row r="35" spans="1:3">
      <c r="A35" s="3" t="s">
        <v>324</v>
      </c>
      <c r="B35" s="3">
        <v>800</v>
      </c>
      <c r="C35" s="1">
        <f t="shared" si="0"/>
        <v>400</v>
      </c>
    </row>
  </sheetData>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etdiskSupbooks xmlns="http://www.wps.cn/et/2019/netdiskSupbooks">
  <NetdiskSupbook Target="file:///G:\Users\Administrator\Documents\WPSDrive\29293583\WPS云盘\2023年驻村工作\2023交通补贴材料\零工类·黄京秀\黄京秀\附件6：鹿寨县前往广西区外务工的脱贫劳动力一次性往返交通补助花名册.xlsx" FileId="233147057050" NetdiskName="yunwps"/>
  <NetdiskSupbook Target="file:///G:\Users\yang\Documents\WPSDrive\29293583\WPS云盘\2023年驻村工作\2023交通补贴材料\1.申请人已做6-13\1（已做）闷水屯潘孟杰交通补贴申请材料（潘贵武户）\附件6：鹿寨县前往广西区外务工的脱贫劳动力一次性往返交通补助花名册（石门村闷水屯潘贵武户）.xlsx" FileId="233143872239" NetdiskName="yunwps"/>
</NetdiskSupbooks>
</file>

<file path=customXml/itemProps1.xml><?xml version="1.0" encoding="utf-8"?>
<ds:datastoreItem xmlns:ds="http://schemas.openxmlformats.org/officeDocument/2006/customXml" ds:itemID="{8CA11897-456E-43AF-AC28-93E1BBEC0A59}">
  <ds:schemaRefs>
    <ds:schemaRef ds:uri="http://www.wps.cn/et/2019/netdiskSupbooks"/>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鹿寨县2024年脱贫劳动力跨省就业一次性交通补助花名册</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2021-10-29T09:28:00Z</cp:lastPrinted>
  <dcterms:modified xsi:type="dcterms:W3CDTF">2024-09-11T08:13:26Z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ICV">
    <vt:lpwstr>A4847CC56FAB4219A41F2C4963BDAF4B_13</vt:lpwstr>
  </property>
  <property fmtid="{D5CDD505-2E9C-101B-9397-08002B2CF9AE}" pid="4" name="KSOReadingLayout">
    <vt:bool>true</vt:bool>
  </property>
</Properties>
</file>