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2"/>
  </bookViews>
  <sheets>
    <sheet name="一般公共预算调整方案表 " sheetId="1" r:id="rId1"/>
    <sheet name="政府性基金预算调整方案表" sheetId="2" r:id="rId2"/>
    <sheet name="国有资本经营预算调整方案表" sheetId="3" r:id="rId3"/>
  </sheets>
  <definedNames>
    <definedName name="_xlnm.Print_Area" localSheetId="0">'一般公共预算调整方案表 '!$A$1:$I$48</definedName>
    <definedName name="_xlnm.Print_Area" localSheetId="1">'政府性基金预算调整方案表'!$A$1:$I$48</definedName>
    <definedName name="_xlnm.Print_Titles" localSheetId="2">'国有资本经营预算调整方案表'!$1:$4</definedName>
    <definedName name="_xlnm.Print_Titles" localSheetId="0">'一般公共预算调整方案表 '!$2:$6</definedName>
    <definedName name="_xlnm.Print_Titles" localSheetId="1">'政府性基金预算调整方案表'!$1:$6</definedName>
  </definedNames>
  <calcPr fullCalcOnLoad="1"/>
</workbook>
</file>

<file path=xl/sharedStrings.xml><?xml version="1.0" encoding="utf-8"?>
<sst xmlns="http://schemas.openxmlformats.org/spreadsheetml/2006/main" count="240" uniqueCount="179">
  <si>
    <t xml:space="preserve">  附件1：</t>
  </si>
  <si>
    <t>鹿寨县2020年一般公共预算调整方案表</t>
  </si>
  <si>
    <t>单位：万元</t>
  </si>
  <si>
    <t>预   算  科   目</t>
  </si>
  <si>
    <t>2019年完成数</t>
  </si>
  <si>
    <t>年初预算数</t>
  </si>
  <si>
    <t>调整预算数</t>
  </si>
  <si>
    <t>比上年完成数增减</t>
  </si>
  <si>
    <t>比年初预算拟增减情况</t>
  </si>
  <si>
    <t>比年初主要增减原因</t>
  </si>
  <si>
    <t>增减数</t>
  </si>
  <si>
    <t>增减%</t>
  </si>
  <si>
    <t>收入总计</t>
  </si>
  <si>
    <t>一、一般公共预算收入</t>
  </si>
  <si>
    <t>（一）税收收入</t>
  </si>
  <si>
    <t>减税降费及税收结构调整，受新冠疫情和全球经济下行双重影响</t>
  </si>
  <si>
    <t>（二）非税收入</t>
  </si>
  <si>
    <t>加大国有资产处置力度</t>
  </si>
  <si>
    <t>二、自治区补助收入</t>
  </si>
  <si>
    <t>（一）财力性转移支付</t>
  </si>
  <si>
    <t>（二）专项转移支付</t>
  </si>
  <si>
    <t>三、上年结转结余收入</t>
  </si>
  <si>
    <t>四、债务转贷收入</t>
  </si>
  <si>
    <t>五、调入预算稳定调节基金</t>
  </si>
  <si>
    <t>六、调入其他资金</t>
  </si>
  <si>
    <t>国有资产经营预算调入</t>
  </si>
  <si>
    <t>调整后预计全年支出</t>
  </si>
  <si>
    <t>拟调增（减）</t>
  </si>
  <si>
    <t>当年财政预算总支出</t>
  </si>
  <si>
    <t>基本支出</t>
  </si>
  <si>
    <t>项目支出</t>
  </si>
  <si>
    <t>2020年提前下达转移支付支出</t>
  </si>
  <si>
    <t>上年专项支出</t>
  </si>
  <si>
    <t>合计</t>
  </si>
  <si>
    <t>基本除绩效</t>
  </si>
  <si>
    <t>其中2019年绩效奖励</t>
  </si>
  <si>
    <t>2020年预发绩效调增支出</t>
  </si>
  <si>
    <t>2020年转移支付</t>
  </si>
  <si>
    <t>收回结转结余调减支出</t>
  </si>
  <si>
    <t>项目除绩效</t>
  </si>
  <si>
    <t>一、一般公共预算支出合计</t>
  </si>
  <si>
    <t xml:space="preserve">      一般公共服务</t>
  </si>
  <si>
    <t>一般公共服务上级转移支付补助，其他支出项目调整到一般公共服务支出安排，基本支出调增等</t>
  </si>
  <si>
    <t xml:space="preserve">      国防</t>
  </si>
  <si>
    <t>人员支出调增</t>
  </si>
  <si>
    <t xml:space="preserve">      公共安全</t>
  </si>
  <si>
    <t>公安司法上级转移支付补助、协警待遇调增等</t>
  </si>
  <si>
    <t xml:space="preserve">      教育</t>
  </si>
  <si>
    <t>教育上级转移支付补助，教师控制数、顶岗教师调增、农村义务教育学校学生营养改善计划过渡性补助等</t>
  </si>
  <si>
    <t xml:space="preserve">      科学技术</t>
  </si>
  <si>
    <t>科学技术上级转移支付补助，增人增资、社会保障缴费等调增支出</t>
  </si>
  <si>
    <t xml:space="preserve">      文化体育与传媒</t>
  </si>
  <si>
    <t>文化体育上级转移支付补助、基本工资标准调增及绩效等调增支出</t>
  </si>
  <si>
    <t xml:space="preserve">      社会保障和就业</t>
  </si>
  <si>
    <t>社会保障和就业上级转移支付补助，机关事业单位退休人员养老待遇缺口，抚恤及遗属补助、困难群众救助补助等调增支出</t>
  </si>
  <si>
    <t xml:space="preserve">      医疗卫生</t>
  </si>
  <si>
    <t>医疗卫生上级补助收入，城乡医保补助、新型冠状病毒感染的肺炎防控工作经费、离休及二残人员医药费等调增支出</t>
  </si>
  <si>
    <t xml:space="preserve">      节能环保</t>
  </si>
  <si>
    <t>节能环保上级补助收入等调增支出</t>
  </si>
  <si>
    <t xml:space="preserve">      城乡社区事务</t>
  </si>
  <si>
    <t>城乡社区事务上级转移支付补助，基本支出等调增支出</t>
  </si>
  <si>
    <t xml:space="preserve">      农林水事务</t>
  </si>
  <si>
    <t>农林水上级转移支付补助、扶贫项目、人工繁育陆生野生动物补偿处置经费等调增支出</t>
  </si>
  <si>
    <t xml:space="preserve">      交通运输</t>
  </si>
  <si>
    <t>交通运输上级转移支付补助</t>
  </si>
  <si>
    <t xml:space="preserve">      资源勘探电力信息等事务</t>
  </si>
  <si>
    <t>资源勘探电力信息等事务上级转移支付补助</t>
  </si>
  <si>
    <t xml:space="preserve">      商业服务业等事务</t>
  </si>
  <si>
    <t>商业服务业等事务上级转移支付补助，基本支出调增</t>
  </si>
  <si>
    <t xml:space="preserve">      金融支出</t>
  </si>
  <si>
    <t>金融支出上级转移支付补助</t>
  </si>
  <si>
    <t xml:space="preserve">      自然资源海洋气象等事务</t>
  </si>
  <si>
    <t>自然资源上级转移支付补助</t>
  </si>
  <si>
    <t xml:space="preserve">      住房保障支出</t>
  </si>
  <si>
    <t>住房保障上级转移支付补助</t>
  </si>
  <si>
    <t xml:space="preserve">      粮油物资储备管理事务</t>
  </si>
  <si>
    <t>粮油物资储备管理事务上级转移支付补助</t>
  </si>
  <si>
    <t xml:space="preserve">      灾害防治及应急管理</t>
  </si>
  <si>
    <t>灾害防治及应急管理上级转移支付补助，基本支出调增</t>
  </si>
  <si>
    <t xml:space="preserve">      预备费</t>
  </si>
  <si>
    <t>调整用于年度预算执行中发生的不可预见支出</t>
  </si>
  <si>
    <t xml:space="preserve">      国债还本付息支出</t>
  </si>
  <si>
    <t xml:space="preserve">      债务发行费用支出</t>
  </si>
  <si>
    <t xml:space="preserve">      其他支出</t>
  </si>
  <si>
    <t>项目资金调整到相应科目支出,部门结转结余资金调减其他支出</t>
  </si>
  <si>
    <t>二、上解自治区支出</t>
  </si>
  <si>
    <t>新增防空地下室易地建设费专项上解</t>
  </si>
  <si>
    <t>四、调出资金</t>
  </si>
  <si>
    <t>五、债务支出</t>
  </si>
  <si>
    <t>六、安排预算稳定调节基金</t>
  </si>
  <si>
    <t>年终结余</t>
  </si>
  <si>
    <t xml:space="preserve">  附件2：</t>
  </si>
  <si>
    <t>鹿寨县2020年政府性基金预算调整方案表</t>
  </si>
  <si>
    <t>主要增减原因</t>
  </si>
  <si>
    <t>本级</t>
  </si>
  <si>
    <t>上年</t>
  </si>
  <si>
    <t>区级</t>
  </si>
  <si>
    <t>市级</t>
  </si>
  <si>
    <t>债</t>
  </si>
  <si>
    <t>总收入</t>
  </si>
  <si>
    <t>一、政府性基金收入</t>
  </si>
  <si>
    <t>一、国有土地收益基金收入</t>
  </si>
  <si>
    <t>二、农业土地开发资金收入</t>
  </si>
  <si>
    <t>三、国有土地使用权出让金收入</t>
  </si>
  <si>
    <t>林业产业园、三岔湾项目获得自治区认可重大项目，加之旅游大开发、旧城改造，使得土地出让数量增多</t>
  </si>
  <si>
    <t>四、污水处理费收入</t>
  </si>
  <si>
    <t>五、城市基础设施配套费收入</t>
  </si>
  <si>
    <t>五、其他政府性基金收入</t>
  </si>
  <si>
    <t>二、 政府性基金转移收入</t>
  </si>
  <si>
    <t>三、上年结余收入</t>
  </si>
  <si>
    <t>总支出</t>
  </si>
  <si>
    <t>一、政府性基金支出</t>
  </si>
  <si>
    <t>（一）文化旅游体育与传媒等支出</t>
  </si>
  <si>
    <t xml:space="preserve">    国家电影事业发展专项资金支出</t>
  </si>
  <si>
    <t>上级转移支付补助</t>
  </si>
  <si>
    <t xml:space="preserve">    旅游发展基金支出</t>
  </si>
  <si>
    <t>（二）社会保障和就业支出</t>
  </si>
  <si>
    <t xml:space="preserve">   大中型水库移民后期扶持基金支出</t>
  </si>
  <si>
    <t xml:space="preserve">   小型水库移民扶助基金支出</t>
  </si>
  <si>
    <t>（三）城乡社区支出</t>
  </si>
  <si>
    <t xml:space="preserve">   国有土地使用权出让收入安排的支出</t>
  </si>
  <si>
    <t>上级专项转移支付补助，土地出让收入增加</t>
  </si>
  <si>
    <t xml:space="preserve">   国有土地收益基金支出</t>
  </si>
  <si>
    <t xml:space="preserve">   农业土地开发资金支出</t>
  </si>
  <si>
    <t xml:space="preserve">   污水处理费支出</t>
  </si>
  <si>
    <t xml:space="preserve">   土地储备专项债券收入安排的支出</t>
  </si>
  <si>
    <t xml:space="preserve">   棚户区改造专项债券收入安排的支出</t>
  </si>
  <si>
    <t>专项债券资金</t>
  </si>
  <si>
    <t>（四）农林水等支出</t>
  </si>
  <si>
    <t xml:space="preserve">    大中型水库库区基金安排的支出</t>
  </si>
  <si>
    <t xml:space="preserve">    地方重大水利工程建设</t>
  </si>
  <si>
    <t>（五）其他支出</t>
  </si>
  <si>
    <t xml:space="preserve">    其他政府性基金支出</t>
  </si>
  <si>
    <t xml:space="preserve">    其他政府性基金及对应专项债务收入安排的支出</t>
  </si>
  <si>
    <t xml:space="preserve">    彩票公益金支出</t>
  </si>
  <si>
    <t>（六）债务付息支出</t>
  </si>
  <si>
    <t xml:space="preserve">    国有土地使用权出让金债务付息支出</t>
  </si>
  <si>
    <t>（七）债务发行费用支出</t>
  </si>
  <si>
    <t xml:space="preserve">    地方政府专项债务发行费用支出</t>
  </si>
  <si>
    <t>（八）抗疫特别国债安排的支出</t>
  </si>
  <si>
    <t xml:space="preserve">    基础设施建设支出</t>
  </si>
  <si>
    <t>抗疫特别国债转移支付补助</t>
  </si>
  <si>
    <t xml:space="preserve">    抗疫相关支出</t>
  </si>
  <si>
    <t>二、调出资金</t>
  </si>
  <si>
    <t xml:space="preserve">   年终结余</t>
  </si>
  <si>
    <t>附件3：</t>
  </si>
  <si>
    <t>鹿寨县2020年国有资本经营预算调整方案表</t>
  </si>
  <si>
    <t>收入项目名称</t>
  </si>
  <si>
    <t>2019年收入完成数</t>
  </si>
  <si>
    <t>2019年度净利润</t>
  </si>
  <si>
    <t>预算收入金额</t>
  </si>
  <si>
    <t>调整预算收入金额</t>
  </si>
  <si>
    <t>增减金额</t>
  </si>
  <si>
    <t>支出项目名称</t>
  </si>
  <si>
    <t>2019年支出完成数</t>
  </si>
  <si>
    <t>预算支出金额</t>
  </si>
  <si>
    <t>调整预算支出金额</t>
  </si>
  <si>
    <t>一、国有资本经营预算收入</t>
  </si>
  <si>
    <t>一、国有资本经营预算支出</t>
  </si>
  <si>
    <t>（一）鹿寨县汇一联城市开发投资有限责任公司</t>
  </si>
  <si>
    <t>（二）鹿寨县鹿之联投资有限责任公司</t>
  </si>
  <si>
    <t>（三）广西鹿寨联发投资有限责任公司</t>
  </si>
  <si>
    <t>（四）柳州鹿源水利投资有限责任公司</t>
  </si>
  <si>
    <t>（五）鹿寨县自来水厂</t>
  </si>
  <si>
    <t>（六）广西壮族自治区柳州地区外贸鹿寨转运站</t>
  </si>
  <si>
    <t>（七）鹿寨县祥鹿投资有限责任公司</t>
  </si>
  <si>
    <t>（八）鹿寨县兴鹿公司</t>
  </si>
  <si>
    <t>（九）鹿寨县甘泉水务投资有限公司</t>
  </si>
  <si>
    <t>（十）鹿寨县华宇建筑工程有限责任公司</t>
  </si>
  <si>
    <t>（十一）鹿寨县森鹿投资有限责任公司</t>
  </si>
  <si>
    <t>（十二）鹿寨县储备粮管理公司</t>
  </si>
  <si>
    <t>（十三）鹿寨县军粮供应站</t>
  </si>
  <si>
    <t>（十四）鹿寨县粮油批发贸易部</t>
  </si>
  <si>
    <t>（十五）鹿寨县鹿寨镇建中市场管理有限责任公司</t>
  </si>
  <si>
    <t>（十六）鹿寨县城镇粮油贸易部</t>
  </si>
  <si>
    <t>（十七）鹿寨县城关粮油贸易部</t>
  </si>
  <si>
    <t>二、上年结余</t>
  </si>
  <si>
    <t>国有资本经营预算支出——解决历史遗留问题及改革成本支出——“三供一业”移交补助支出（柳财预〔2018〕815号文）</t>
  </si>
  <si>
    <t>三、调出一般公共预算支出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</si>
</sst>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-* #,##0_-;\-* #,##0_-;_-* &quot;-&quot;_-;_-@_-"/>
    <numFmt numFmtId="178" formatCode="0.00_ "/>
    <numFmt numFmtId="179" formatCode="#,##0.00_ "/>
    <numFmt numFmtId="180" formatCode="_ * #,##0_ ;_ * \-#,##0_ ;_ * &quot;-&quot;??_ ;_ @_ "/>
    <numFmt numFmtId="181" formatCode="_-* #,##0_-;\-* #,##0_-;_-* &quot;-&quot;??_-;_-@_-"/>
    <numFmt numFmtId="182" formatCode="_-* #,##0.00_-;\-* #,##0.00_-;_-* &quot;-&quot;??_-;_-@_-"/>
    <numFmt numFmtId="183" formatCode="0_ "/>
    <numFmt numFmtId="184" formatCode="#,##0_ "/>
  </numFmts>
  <fonts count="67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1"/>
      <name val="黑体"/>
      <family val="0"/>
    </font>
    <font>
      <sz val="11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9"/>
      <name val="黑体"/>
      <family val="0"/>
    </font>
    <font>
      <b/>
      <sz val="10"/>
      <name val="黑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宋体"/>
      <family val="0"/>
    </font>
    <font>
      <b/>
      <sz val="9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6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46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47" fillId="0" borderId="0">
      <alignment vertical="center"/>
      <protection/>
    </xf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0" borderId="0">
      <alignment vertical="center"/>
      <protection/>
    </xf>
    <xf numFmtId="0" fontId="47" fillId="17" borderId="0" applyNumberFormat="0" applyBorder="0" applyAlignment="0" applyProtection="0"/>
    <xf numFmtId="0" fontId="45" fillId="0" borderId="0">
      <alignment/>
      <protection/>
    </xf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176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7" fillId="25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5" fillId="0" borderId="0">
      <alignment/>
      <protection/>
    </xf>
    <xf numFmtId="0" fontId="4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177" fontId="34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66" applyFont="1" applyFill="1" applyAlignment="1">
      <alignment vertical="center" wrapText="1"/>
      <protection/>
    </xf>
    <xf numFmtId="0" fontId="0" fillId="0" borderId="0" xfId="66" applyFont="1" applyAlignment="1">
      <alignment vertical="center" wrapText="1"/>
      <protection/>
    </xf>
    <xf numFmtId="178" fontId="0" fillId="0" borderId="0" xfId="66" applyNumberFormat="1" applyFont="1" applyAlignment="1">
      <alignment vertical="center" wrapText="1"/>
      <protection/>
    </xf>
    <xf numFmtId="0" fontId="2" fillId="0" borderId="0" xfId="66" applyFont="1" applyAlignment="1">
      <alignment horizontal="center" vertical="center" wrapText="1"/>
      <protection/>
    </xf>
    <xf numFmtId="178" fontId="2" fillId="0" borderId="0" xfId="66" applyNumberFormat="1" applyFont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 wrapText="1"/>
      <protection/>
    </xf>
    <xf numFmtId="178" fontId="3" fillId="0" borderId="9" xfId="59" applyNumberFormat="1" applyFont="1" applyBorder="1" applyAlignment="1">
      <alignment horizontal="center" vertical="center" wrapText="1"/>
      <protection/>
    </xf>
    <xf numFmtId="0" fontId="3" fillId="0" borderId="9" xfId="59" applyFont="1" applyFill="1" applyBorder="1" applyAlignment="1">
      <alignment horizontal="left" vertical="center" wrapText="1"/>
      <protection/>
    </xf>
    <xf numFmtId="179" fontId="3" fillId="0" borderId="9" xfId="59" applyNumberFormat="1" applyFont="1" applyBorder="1" applyAlignment="1">
      <alignment horizontal="right" vertical="center" wrapText="1"/>
      <protection/>
    </xf>
    <xf numFmtId="10" fontId="4" fillId="0" borderId="9" xfId="50" applyNumberFormat="1" applyFont="1" applyBorder="1" applyAlignment="1">
      <alignment vertical="center" wrapText="1"/>
      <protection/>
    </xf>
    <xf numFmtId="0" fontId="5" fillId="0" borderId="9" xfId="34" applyFont="1" applyBorder="1" applyAlignment="1">
      <alignment vertical="center" wrapText="1"/>
      <protection/>
    </xf>
    <xf numFmtId="178" fontId="6" fillId="0" borderId="9" xfId="59" applyNumberFormat="1" applyFont="1" applyFill="1" applyBorder="1" applyAlignment="1">
      <alignment horizontal="right" vertical="center" wrapText="1"/>
      <protection/>
    </xf>
    <xf numFmtId="0" fontId="5" fillId="0" borderId="9" xfId="34" applyFont="1" applyFill="1" applyBorder="1" applyAlignment="1">
      <alignment vertical="center" wrapText="1"/>
      <protection/>
    </xf>
    <xf numFmtId="0" fontId="5" fillId="0" borderId="9" xfId="79" applyFont="1" applyFill="1" applyBorder="1" applyAlignment="1">
      <alignment vertical="center" wrapText="1"/>
      <protection/>
    </xf>
    <xf numFmtId="178" fontId="7" fillId="0" borderId="9" xfId="81" applyNumberFormat="1" applyFont="1" applyFill="1" applyBorder="1" applyAlignment="1">
      <alignment horizontal="right" vertical="center"/>
    </xf>
    <xf numFmtId="0" fontId="8" fillId="0" borderId="9" xfId="79" applyFont="1" applyFill="1" applyBorder="1" applyAlignment="1">
      <alignment vertical="center" wrapText="1"/>
      <protection/>
    </xf>
    <xf numFmtId="0" fontId="8" fillId="0" borderId="9" xfId="79" applyFont="1" applyFill="1" applyBorder="1" applyAlignment="1">
      <alignment horizontal="left" vertical="center" wrapText="1"/>
      <protection/>
    </xf>
    <xf numFmtId="0" fontId="6" fillId="0" borderId="9" xfId="59" applyFont="1" applyFill="1" applyBorder="1" applyAlignment="1">
      <alignment horizontal="left" vertical="center" wrapText="1"/>
      <protection/>
    </xf>
    <xf numFmtId="0" fontId="9" fillId="0" borderId="9" xfId="59" applyFont="1" applyFill="1" applyBorder="1" applyAlignment="1">
      <alignment horizontal="left" vertical="center" wrapText="1"/>
      <protection/>
    </xf>
    <xf numFmtId="178" fontId="3" fillId="0" borderId="9" xfId="59" applyNumberFormat="1" applyFont="1" applyFill="1" applyBorder="1" applyAlignment="1">
      <alignment horizontal="right" vertical="center" wrapText="1"/>
      <protection/>
    </xf>
    <xf numFmtId="178" fontId="10" fillId="0" borderId="9" xfId="81" applyNumberFormat="1" applyFont="1" applyFill="1" applyBorder="1" applyAlignment="1">
      <alignment horizontal="right" vertical="center"/>
    </xf>
    <xf numFmtId="0" fontId="11" fillId="0" borderId="9" xfId="79" applyFont="1" applyFill="1" applyBorder="1" applyAlignment="1">
      <alignment horizontal="left" vertical="center" wrapText="1"/>
      <protection/>
    </xf>
    <xf numFmtId="0" fontId="1" fillId="0" borderId="9" xfId="66" applyFont="1" applyFill="1" applyBorder="1" applyAlignment="1">
      <alignment vertical="center" wrapText="1"/>
      <protection/>
    </xf>
    <xf numFmtId="0" fontId="12" fillId="0" borderId="9" xfId="79" applyFont="1" applyFill="1" applyBorder="1" applyAlignment="1">
      <alignment horizontal="center" vertical="center" wrapText="1"/>
      <protection/>
    </xf>
    <xf numFmtId="10" fontId="4" fillId="0" borderId="9" xfId="50" applyNumberFormat="1" applyFont="1" applyFill="1" applyBorder="1" applyAlignment="1">
      <alignment vertical="center" wrapText="1"/>
      <protection/>
    </xf>
    <xf numFmtId="0" fontId="10" fillId="0" borderId="0" xfId="59" applyFont="1" applyAlignment="1">
      <alignment horizontal="center" vertical="center" wrapText="1"/>
      <protection/>
    </xf>
    <xf numFmtId="178" fontId="10" fillId="0" borderId="0" xfId="59" applyNumberFormat="1" applyFont="1" applyAlignment="1">
      <alignment horizontal="center" vertical="center" wrapText="1"/>
      <protection/>
    </xf>
    <xf numFmtId="178" fontId="6" fillId="0" borderId="9" xfId="59" applyNumberFormat="1" applyFont="1" applyBorder="1" applyAlignment="1">
      <alignment horizontal="right" vertical="center" wrapText="1"/>
      <protection/>
    </xf>
    <xf numFmtId="178" fontId="3" fillId="0" borderId="9" xfId="59" applyNumberFormat="1" applyFont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0" fontId="12" fillId="0" borderId="9" xfId="79" applyFont="1" applyBorder="1" applyAlignment="1">
      <alignment horizontal="left" vertical="center" wrapText="1"/>
      <protection/>
    </xf>
    <xf numFmtId="177" fontId="0" fillId="0" borderId="0" xfId="66" applyNumberFormat="1" applyFont="1" applyAlignment="1">
      <alignment vertical="center" wrapText="1"/>
      <protection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4" fontId="2" fillId="0" borderId="0" xfId="18" applyFont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80" applyFont="1" applyFill="1" applyBorder="1" applyAlignment="1">
      <alignment horizontal="center" vertical="center" wrapText="1"/>
      <protection/>
    </xf>
    <xf numFmtId="180" fontId="17" fillId="0" borderId="9" xfId="22" applyNumberFormat="1" applyFont="1" applyFill="1" applyBorder="1" applyAlignment="1" applyProtection="1">
      <alignment vertical="center" wrapText="1"/>
      <protection/>
    </xf>
    <xf numFmtId="2" fontId="17" fillId="0" borderId="9" xfId="22" applyNumberFormat="1" applyFont="1" applyFill="1" applyBorder="1" applyAlignment="1">
      <alignment vertical="center" wrapText="1"/>
    </xf>
    <xf numFmtId="0" fontId="13" fillId="0" borderId="9" xfId="78" applyFont="1" applyBorder="1" applyAlignment="1" applyProtection="1">
      <alignment horizontal="left" vertical="center" wrapText="1"/>
      <protection locked="0"/>
    </xf>
    <xf numFmtId="0" fontId="4" fillId="0" borderId="9" xfId="78" applyFont="1" applyBorder="1" applyAlignment="1">
      <alignment vertical="center" wrapText="1"/>
      <protection/>
    </xf>
    <xf numFmtId="41" fontId="4" fillId="0" borderId="9" xfId="19" applyFont="1" applyFill="1" applyBorder="1" applyAlignment="1">
      <alignment horizontal="center" vertical="center" wrapText="1"/>
    </xf>
    <xf numFmtId="180" fontId="18" fillId="0" borderId="9" xfId="22" applyNumberFormat="1" applyFont="1" applyFill="1" applyBorder="1" applyAlignment="1" applyProtection="1">
      <alignment vertical="center" wrapText="1"/>
      <protection/>
    </xf>
    <xf numFmtId="2" fontId="18" fillId="0" borderId="9" xfId="22" applyNumberFormat="1" applyFont="1" applyFill="1" applyBorder="1" applyAlignment="1">
      <alignment vertical="center" wrapText="1"/>
    </xf>
    <xf numFmtId="41" fontId="4" fillId="0" borderId="9" xfId="19" applyFont="1" applyBorder="1" applyAlignment="1">
      <alignment horizontal="center" vertical="center" wrapText="1"/>
    </xf>
    <xf numFmtId="181" fontId="13" fillId="0" borderId="9" xfId="63" applyNumberFormat="1" applyFont="1" applyBorder="1" applyAlignment="1">
      <alignment vertical="center"/>
      <protection/>
    </xf>
    <xf numFmtId="49" fontId="13" fillId="0" borderId="9" xfId="63" applyNumberFormat="1" applyFont="1" applyFill="1" applyBorder="1" applyAlignment="1" applyProtection="1">
      <alignment horizontal="left" vertical="center" wrapText="1"/>
      <protection/>
    </xf>
    <xf numFmtId="182" fontId="13" fillId="0" borderId="9" xfId="63" applyNumberFormat="1" applyFont="1" applyBorder="1" applyAlignment="1">
      <alignment vertical="center"/>
      <protection/>
    </xf>
    <xf numFmtId="49" fontId="4" fillId="0" borderId="9" xfId="63" applyNumberFormat="1" applyFont="1" applyFill="1" applyBorder="1" applyAlignment="1" applyProtection="1">
      <alignment horizontal="left" vertical="center" wrapText="1"/>
      <protection/>
    </xf>
    <xf numFmtId="181" fontId="4" fillId="0" borderId="9" xfId="63" applyNumberFormat="1" applyFont="1" applyBorder="1" applyAlignment="1">
      <alignment vertical="center"/>
      <protection/>
    </xf>
    <xf numFmtId="182" fontId="4" fillId="0" borderId="9" xfId="63" applyNumberFormat="1" applyFont="1" applyBorder="1" applyAlignment="1">
      <alignment vertical="center"/>
      <protection/>
    </xf>
    <xf numFmtId="0" fontId="4" fillId="0" borderId="9" xfId="63" applyFont="1" applyBorder="1" applyAlignment="1">
      <alignment vertical="center"/>
      <protection/>
    </xf>
    <xf numFmtId="183" fontId="13" fillId="0" borderId="9" xfId="63" applyNumberFormat="1" applyFont="1" applyBorder="1" applyAlignment="1">
      <alignment vertical="center"/>
      <protection/>
    </xf>
    <xf numFmtId="0" fontId="13" fillId="0" borderId="9" xfId="63" applyFont="1" applyBorder="1" applyAlignment="1">
      <alignment vertical="center"/>
      <protection/>
    </xf>
    <xf numFmtId="0" fontId="10" fillId="0" borderId="9" xfId="80" applyFont="1" applyFill="1" applyBorder="1" applyAlignment="1">
      <alignment vertical="center" wrapText="1"/>
      <protection/>
    </xf>
    <xf numFmtId="0" fontId="10" fillId="0" borderId="9" xfId="80" applyFont="1" applyFill="1" applyBorder="1" applyAlignment="1">
      <alignment horizontal="center" vertical="center" wrapText="1"/>
      <protection/>
    </xf>
    <xf numFmtId="180" fontId="13" fillId="0" borderId="9" xfId="63" applyNumberFormat="1" applyFont="1" applyBorder="1" applyAlignment="1">
      <alignment vertic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/>
    </xf>
    <xf numFmtId="0" fontId="4" fillId="0" borderId="9" xfId="62" applyFont="1" applyFill="1" applyBorder="1" applyAlignment="1">
      <alignment vertical="center" wrapText="1"/>
      <protection/>
    </xf>
    <xf numFmtId="181" fontId="4" fillId="0" borderId="0" xfId="63" applyNumberFormat="1" applyFont="1" applyAlignment="1">
      <alignment vertical="center"/>
      <protection/>
    </xf>
    <xf numFmtId="0" fontId="13" fillId="0" borderId="9" xfId="0" applyFont="1" applyFill="1" applyBorder="1" applyAlignment="1">
      <alignment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44" fontId="23" fillId="0" borderId="0" xfId="18" applyFont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41" fontId="21" fillId="0" borderId="9" xfId="19" applyFont="1" applyBorder="1" applyAlignment="1" applyProtection="1">
      <alignment vertical="center" wrapText="1"/>
      <protection/>
    </xf>
    <xf numFmtId="43" fontId="21" fillId="0" borderId="9" xfId="22" applyNumberFormat="1" applyFont="1" applyBorder="1" applyAlignment="1" applyProtection="1">
      <alignment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vertical="center" wrapText="1"/>
      <protection locked="0"/>
    </xf>
    <xf numFmtId="41" fontId="20" fillId="0" borderId="9" xfId="19" applyFont="1" applyBorder="1" applyAlignment="1" applyProtection="1">
      <alignment vertical="center" wrapText="1"/>
      <protection/>
    </xf>
    <xf numFmtId="43" fontId="20" fillId="0" borderId="9" xfId="22" applyNumberFormat="1" applyFont="1" applyBorder="1" applyAlignment="1" applyProtection="1">
      <alignment vertical="center" wrapText="1"/>
      <protection/>
    </xf>
    <xf numFmtId="41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41" fontId="20" fillId="0" borderId="9" xfId="19" applyFont="1" applyBorder="1" applyAlignment="1" applyProtection="1">
      <alignment horizontal="left" vertical="center" wrapText="1"/>
      <protection locked="0"/>
    </xf>
    <xf numFmtId="41" fontId="21" fillId="0" borderId="9" xfId="19" applyFont="1" applyBorder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184" fontId="19" fillId="0" borderId="9" xfId="22" applyNumberFormat="1" applyFont="1" applyFill="1" applyBorder="1" applyAlignment="1" applyProtection="1">
      <alignment horizontal="left" vertical="center" wrapText="1"/>
      <protection/>
    </xf>
    <xf numFmtId="180" fontId="19" fillId="0" borderId="9" xfId="62" applyNumberFormat="1" applyFont="1" applyFill="1" applyBorder="1" applyAlignment="1">
      <alignment vertical="center" wrapText="1"/>
      <protection/>
    </xf>
    <xf numFmtId="41" fontId="20" fillId="0" borderId="9" xfId="19" applyFont="1" applyFill="1" applyBorder="1" applyAlignment="1" applyProtection="1">
      <alignment vertical="center" wrapText="1"/>
      <protection/>
    </xf>
    <xf numFmtId="180" fontId="19" fillId="0" borderId="9" xfId="62" applyNumberFormat="1" applyFont="1" applyFill="1" applyBorder="1" applyAlignment="1" applyProtection="1">
      <alignment vertical="center" wrapText="1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180" fontId="25" fillId="0" borderId="9" xfId="62" applyNumberFormat="1" applyFont="1" applyFill="1" applyBorder="1" applyAlignment="1">
      <alignment vertical="center" wrapText="1"/>
      <protection/>
    </xf>
    <xf numFmtId="41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vertical="center" wrapText="1"/>
      <protection locked="0"/>
    </xf>
    <xf numFmtId="0" fontId="20" fillId="0" borderId="9" xfId="75" applyFont="1" applyBorder="1" applyAlignment="1" applyProtection="1">
      <alignment vertical="center" wrapText="1"/>
      <protection locked="0"/>
    </xf>
    <xf numFmtId="0" fontId="19" fillId="0" borderId="9" xfId="62" applyFont="1" applyFill="1" applyBorder="1" applyAlignment="1">
      <alignment vertical="center" wrapText="1"/>
      <protection/>
    </xf>
    <xf numFmtId="177" fontId="20" fillId="0" borderId="9" xfId="0" applyNumberFormat="1" applyFont="1" applyFill="1" applyBorder="1" applyAlignment="1" applyProtection="1">
      <alignment vertical="center" wrapText="1"/>
      <protection locked="0"/>
    </xf>
    <xf numFmtId="180" fontId="20" fillId="0" borderId="0" xfId="0" applyNumberFormat="1" applyFont="1" applyFill="1" applyBorder="1" applyAlignment="1" applyProtection="1">
      <alignment vertical="center" wrapText="1"/>
      <protection locked="0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2 2 6" xfId="48"/>
    <cellStyle name="20% - 强调文字颜色 5" xfId="49"/>
    <cellStyle name="常规 8 2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千位分隔[0] 2" xfId="57"/>
    <cellStyle name="强调文字颜色 4" xfId="58"/>
    <cellStyle name="常规_2013年鹿寨县预算支出汇总表" xfId="59"/>
    <cellStyle name="常规 2 2 2 3" xfId="60"/>
    <cellStyle name="20% - 强调文字颜色 4" xfId="61"/>
    <cellStyle name="常规_2010年预算支出调整表（预算）" xfId="62"/>
    <cellStyle name="常规_2015年财政预算支出调整表（基金）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4" xfId="72"/>
    <cellStyle name="常规 2" xfId="73"/>
    <cellStyle name="常规 2_鹿寨县重点建设项目融资计划表（第三期）2016.11.12（存量项目、新建项目）_鹿寨县2015、2016年重点项目融资完成情况统计表2017.1.11 3" xfId="74"/>
    <cellStyle name="常规 7" xfId="75"/>
    <cellStyle name="常规 3" xfId="76"/>
    <cellStyle name="常规 5" xfId="77"/>
    <cellStyle name="常规_2009年收入预算草案" xfId="78"/>
    <cellStyle name="常规_2015年基金预算20150113" xfId="79"/>
    <cellStyle name="常规_附表2：2015年基金预算调整表(初稿）" xfId="80"/>
    <cellStyle name="千位分隔[0] 2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zoomScale="115" zoomScaleNormal="115" workbookViewId="0" topLeftCell="A1">
      <pane xSplit="1" ySplit="6" topLeftCell="C7" activePane="bottomRight" state="frozen"/>
      <selection pane="bottomRight" activeCell="D23" sqref="D23"/>
    </sheetView>
  </sheetViews>
  <sheetFormatPr defaultColWidth="9.00390625" defaultRowHeight="14.25"/>
  <cols>
    <col min="1" max="1" width="25.375" style="74" customWidth="1"/>
    <col min="2" max="2" width="11.50390625" style="74" customWidth="1"/>
    <col min="3" max="3" width="9.625" style="74" customWidth="1"/>
    <col min="4" max="4" width="10.125" style="74" customWidth="1"/>
    <col min="5" max="5" width="9.625" style="74" customWidth="1"/>
    <col min="6" max="6" width="9.375" style="74" customWidth="1"/>
    <col min="7" max="8" width="9.25390625" style="74" customWidth="1"/>
    <col min="9" max="9" width="49.50390625" style="74" customWidth="1"/>
    <col min="10" max="10" width="11.00390625" style="74" hidden="1" customWidth="1"/>
    <col min="11" max="12" width="8.625" style="74" hidden="1" customWidth="1"/>
    <col min="13" max="13" width="11.875" style="74" hidden="1" customWidth="1"/>
    <col min="14" max="16" width="9.00390625" style="74" hidden="1" customWidth="1"/>
    <col min="17" max="18" width="11.375" style="74" hidden="1" customWidth="1"/>
    <col min="19" max="19" width="9.00390625" style="74" hidden="1" customWidth="1"/>
    <col min="20" max="20" width="10.25390625" style="74" hidden="1" customWidth="1"/>
    <col min="21" max="30" width="9.00390625" style="74" hidden="1" customWidth="1"/>
    <col min="31" max="16384" width="9.00390625" style="74" customWidth="1"/>
  </cols>
  <sheetData>
    <row r="1" spans="1:2" ht="14.25">
      <c r="A1" s="75" t="s">
        <v>0</v>
      </c>
      <c r="B1" s="75"/>
    </row>
    <row r="2" spans="1:9" ht="21.7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23.2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13.5" customHeight="1">
      <c r="A4" s="77"/>
      <c r="B4" s="77"/>
      <c r="C4" s="73"/>
      <c r="D4" s="77"/>
      <c r="E4" s="77"/>
      <c r="F4" s="77"/>
      <c r="H4" s="78"/>
      <c r="I4" s="78" t="s">
        <v>2</v>
      </c>
    </row>
    <row r="5" spans="1:9" s="72" customFormat="1" ht="13.5" customHeight="1">
      <c r="A5" s="79" t="s">
        <v>3</v>
      </c>
      <c r="B5" s="79" t="s">
        <v>4</v>
      </c>
      <c r="C5" s="79" t="s">
        <v>5</v>
      </c>
      <c r="D5" s="79" t="s">
        <v>6</v>
      </c>
      <c r="E5" s="80" t="s">
        <v>7</v>
      </c>
      <c r="F5" s="80"/>
      <c r="G5" s="80" t="s">
        <v>8</v>
      </c>
      <c r="H5" s="80"/>
      <c r="I5" s="80" t="s">
        <v>9</v>
      </c>
    </row>
    <row r="6" spans="1:9" s="72" customFormat="1" ht="13.5" customHeight="1">
      <c r="A6" s="81"/>
      <c r="B6" s="81"/>
      <c r="C6" s="81"/>
      <c r="D6" s="81"/>
      <c r="E6" s="80" t="s">
        <v>10</v>
      </c>
      <c r="F6" s="80" t="s">
        <v>11</v>
      </c>
      <c r="G6" s="80" t="s">
        <v>10</v>
      </c>
      <c r="H6" s="80" t="s">
        <v>11</v>
      </c>
      <c r="I6" s="80"/>
    </row>
    <row r="7" spans="1:9" s="73" customFormat="1" ht="13.5" customHeight="1">
      <c r="A7" s="82" t="s">
        <v>12</v>
      </c>
      <c r="B7" s="83">
        <f>B8+B11+B14+B15+B16+B17</f>
        <v>287112</v>
      </c>
      <c r="C7" s="83">
        <f>C8+C11+C14+C15+C16+C17</f>
        <v>228764</v>
      </c>
      <c r="D7" s="83">
        <f>D8+D11+D14+D15+D16+D17</f>
        <v>313224</v>
      </c>
      <c r="E7" s="83">
        <f aca="true" t="shared" si="0" ref="E7:E13">D7-B7</f>
        <v>26112</v>
      </c>
      <c r="F7" s="84">
        <f aca="true" t="shared" si="1" ref="F7:F13">E7/D7*100</f>
        <v>8.336525936709831</v>
      </c>
      <c r="G7" s="83">
        <f aca="true" t="shared" si="2" ref="G7:G17">D7-C7</f>
        <v>84460</v>
      </c>
      <c r="H7" s="84">
        <f aca="true" t="shared" si="3" ref="H7:H14">G7/C7*100</f>
        <v>36.920144778024515</v>
      </c>
      <c r="I7" s="98"/>
    </row>
    <row r="8" spans="1:9" s="72" customFormat="1" ht="26.25" customHeight="1">
      <c r="A8" s="85" t="s">
        <v>13</v>
      </c>
      <c r="B8" s="83">
        <f>B9+B10</f>
        <v>61112</v>
      </c>
      <c r="C8" s="83">
        <f>C9+C10</f>
        <v>64056</v>
      </c>
      <c r="D8" s="83">
        <f>D9+D10</f>
        <v>72748</v>
      </c>
      <c r="E8" s="83">
        <f t="shared" si="0"/>
        <v>11636</v>
      </c>
      <c r="F8" s="84">
        <f t="shared" si="1"/>
        <v>15.994941441689118</v>
      </c>
      <c r="G8" s="83">
        <f t="shared" si="2"/>
        <v>8692</v>
      </c>
      <c r="H8" s="84">
        <f t="shared" si="3"/>
        <v>13.569376795304109</v>
      </c>
      <c r="I8" s="92"/>
    </row>
    <row r="9" spans="1:9" s="72" customFormat="1" ht="13.5" customHeight="1">
      <c r="A9" s="86" t="s">
        <v>14</v>
      </c>
      <c r="B9" s="87">
        <v>36922</v>
      </c>
      <c r="C9" s="87">
        <v>37414</v>
      </c>
      <c r="D9" s="87">
        <v>33406</v>
      </c>
      <c r="E9" s="87">
        <f t="shared" si="0"/>
        <v>-3516</v>
      </c>
      <c r="F9" s="88">
        <f t="shared" si="1"/>
        <v>-10.525055379273185</v>
      </c>
      <c r="G9" s="87">
        <f t="shared" si="2"/>
        <v>-4008</v>
      </c>
      <c r="H9" s="88">
        <f t="shared" si="3"/>
        <v>-10.712567488106057</v>
      </c>
      <c r="I9" s="86" t="s">
        <v>15</v>
      </c>
    </row>
    <row r="10" spans="1:9" s="72" customFormat="1" ht="13.5" customHeight="1">
      <c r="A10" s="86" t="s">
        <v>16</v>
      </c>
      <c r="B10" s="87">
        <v>24190</v>
      </c>
      <c r="C10" s="87">
        <v>26642</v>
      </c>
      <c r="D10" s="87">
        <v>39342</v>
      </c>
      <c r="E10" s="87">
        <f t="shared" si="0"/>
        <v>15152</v>
      </c>
      <c r="F10" s="88">
        <f t="shared" si="1"/>
        <v>38.513547862335415</v>
      </c>
      <c r="G10" s="87">
        <f t="shared" si="2"/>
        <v>12700</v>
      </c>
      <c r="H10" s="88">
        <f t="shared" si="3"/>
        <v>47.66909391186848</v>
      </c>
      <c r="I10" s="86" t="s">
        <v>17</v>
      </c>
    </row>
    <row r="11" spans="1:9" s="73" customFormat="1" ht="13.5" customHeight="1">
      <c r="A11" s="89" t="s">
        <v>18</v>
      </c>
      <c r="B11" s="83">
        <v>187694</v>
      </c>
      <c r="C11" s="83">
        <v>142914</v>
      </c>
      <c r="D11" s="83">
        <v>216744</v>
      </c>
      <c r="E11" s="83">
        <f t="shared" si="0"/>
        <v>29050</v>
      </c>
      <c r="F11" s="84">
        <f t="shared" si="1"/>
        <v>13.402908500350645</v>
      </c>
      <c r="G11" s="83">
        <f t="shared" si="2"/>
        <v>73830</v>
      </c>
      <c r="H11" s="84">
        <f t="shared" si="3"/>
        <v>51.6604391452202</v>
      </c>
      <c r="I11" s="86"/>
    </row>
    <row r="12" spans="1:9" s="73" customFormat="1" ht="13.5" customHeight="1">
      <c r="A12" s="86" t="s">
        <v>19</v>
      </c>
      <c r="B12" s="83">
        <v>76105</v>
      </c>
      <c r="C12" s="83">
        <v>72327</v>
      </c>
      <c r="D12" s="83">
        <v>84107</v>
      </c>
      <c r="E12" s="87">
        <f t="shared" si="0"/>
        <v>8002</v>
      </c>
      <c r="F12" s="88">
        <f t="shared" si="1"/>
        <v>9.51407136148002</v>
      </c>
      <c r="G12" s="87">
        <f t="shared" si="2"/>
        <v>11780</v>
      </c>
      <c r="H12" s="84">
        <f t="shared" si="3"/>
        <v>16.287140348694127</v>
      </c>
      <c r="I12" s="86"/>
    </row>
    <row r="13" spans="1:9" s="73" customFormat="1" ht="13.5" customHeight="1">
      <c r="A13" s="86" t="s">
        <v>20</v>
      </c>
      <c r="B13" s="83">
        <f>B11-B12</f>
        <v>111589</v>
      </c>
      <c r="C13" s="83">
        <v>70587</v>
      </c>
      <c r="D13" s="83">
        <v>132637</v>
      </c>
      <c r="E13" s="87">
        <f t="shared" si="0"/>
        <v>21048</v>
      </c>
      <c r="F13" s="88">
        <f t="shared" si="1"/>
        <v>15.868875200735843</v>
      </c>
      <c r="G13" s="87">
        <f t="shared" si="2"/>
        <v>62050</v>
      </c>
      <c r="H13" s="84">
        <f t="shared" si="3"/>
        <v>87.90570501650446</v>
      </c>
      <c r="I13" s="86"/>
    </row>
    <row r="14" spans="1:9" s="72" customFormat="1" ht="13.5" customHeight="1">
      <c r="A14" s="89" t="s">
        <v>21</v>
      </c>
      <c r="B14" s="83">
        <v>1986</v>
      </c>
      <c r="C14" s="83">
        <v>5257</v>
      </c>
      <c r="D14" s="83">
        <v>5950</v>
      </c>
      <c r="E14" s="83">
        <f aca="true" t="shared" si="4" ref="E14:E41">D14-B14</f>
        <v>3964</v>
      </c>
      <c r="F14" s="84">
        <f aca="true" t="shared" si="5" ref="F14:F41">E14/D14*100</f>
        <v>66.6218487394958</v>
      </c>
      <c r="G14" s="83">
        <f t="shared" si="2"/>
        <v>693</v>
      </c>
      <c r="H14" s="84">
        <f t="shared" si="3"/>
        <v>13.182423435419441</v>
      </c>
      <c r="I14" s="86"/>
    </row>
    <row r="15" spans="1:9" s="72" customFormat="1" ht="13.5" customHeight="1">
      <c r="A15" s="89" t="s">
        <v>22</v>
      </c>
      <c r="B15" s="83">
        <v>8400</v>
      </c>
      <c r="C15" s="83"/>
      <c r="D15" s="83">
        <v>1800</v>
      </c>
      <c r="E15" s="83">
        <f t="shared" si="4"/>
        <v>-6600</v>
      </c>
      <c r="F15" s="83">
        <f t="shared" si="5"/>
        <v>-366.66666666666663</v>
      </c>
      <c r="G15" s="83">
        <f t="shared" si="2"/>
        <v>1800</v>
      </c>
      <c r="H15" s="83"/>
      <c r="I15" s="86"/>
    </row>
    <row r="16" spans="1:9" s="72" customFormat="1" ht="13.5" customHeight="1">
      <c r="A16" s="89" t="s">
        <v>23</v>
      </c>
      <c r="B16" s="83">
        <v>1629</v>
      </c>
      <c r="C16" s="83">
        <v>550</v>
      </c>
      <c r="D16" s="83">
        <v>285</v>
      </c>
      <c r="E16" s="83">
        <f t="shared" si="4"/>
        <v>-1344</v>
      </c>
      <c r="F16" s="84">
        <f t="shared" si="5"/>
        <v>-471.578947368421</v>
      </c>
      <c r="G16" s="83">
        <f t="shared" si="2"/>
        <v>-265</v>
      </c>
      <c r="H16" s="84">
        <f aca="true" t="shared" si="6" ref="H16:H34">G16/C16*100</f>
        <v>-48.18181818181818</v>
      </c>
      <c r="I16" s="86"/>
    </row>
    <row r="17" spans="1:27" s="72" customFormat="1" ht="13.5" customHeight="1">
      <c r="A17" s="89" t="s">
        <v>24</v>
      </c>
      <c r="B17" s="83">
        <v>26291</v>
      </c>
      <c r="C17" s="83">
        <v>15987</v>
      </c>
      <c r="D17" s="83">
        <v>15697</v>
      </c>
      <c r="E17" s="83">
        <f t="shared" si="4"/>
        <v>-10594</v>
      </c>
      <c r="F17" s="83">
        <f t="shared" si="5"/>
        <v>-67.49060329999364</v>
      </c>
      <c r="G17" s="83">
        <f t="shared" si="2"/>
        <v>-290</v>
      </c>
      <c r="H17" s="83"/>
      <c r="I17" s="86" t="s">
        <v>25</v>
      </c>
      <c r="AA17" s="108">
        <f>AA20-S20</f>
        <v>44134.811763</v>
      </c>
    </row>
    <row r="18" spans="1:30" s="72" customFormat="1" ht="13.5" customHeight="1">
      <c r="A18" s="86"/>
      <c r="B18" s="90"/>
      <c r="C18" s="90"/>
      <c r="D18" s="90"/>
      <c r="E18" s="87">
        <f t="shared" si="4"/>
        <v>0</v>
      </c>
      <c r="F18" s="88"/>
      <c r="G18" s="87"/>
      <c r="H18" s="88"/>
      <c r="I18" s="86"/>
      <c r="J18" s="101"/>
      <c r="K18" s="101"/>
      <c r="L18" s="101"/>
      <c r="M18" s="101"/>
      <c r="N18" s="102"/>
      <c r="O18" s="103" t="s">
        <v>26</v>
      </c>
      <c r="P18" s="101"/>
      <c r="Q18" s="101"/>
      <c r="R18" s="101"/>
      <c r="S18" s="101"/>
      <c r="T18" s="101"/>
      <c r="U18" s="101"/>
      <c r="V18" s="101"/>
      <c r="W18" s="102"/>
      <c r="X18" s="103" t="s">
        <v>27</v>
      </c>
      <c r="Y18" s="101"/>
      <c r="Z18" s="101"/>
      <c r="AA18" s="101"/>
      <c r="AB18" s="101"/>
      <c r="AC18" s="101"/>
      <c r="AD18" s="102"/>
    </row>
    <row r="19" spans="1:30" s="72" customFormat="1" ht="25.5" customHeight="1">
      <c r="A19" s="82" t="s">
        <v>28</v>
      </c>
      <c r="B19" s="91">
        <f>B20+B44+B45+B46+B47</f>
        <v>281162</v>
      </c>
      <c r="C19" s="91">
        <f>C20+C44+C45+C46</f>
        <v>228764.22596199997</v>
      </c>
      <c r="D19" s="91">
        <f>D20+D44+D45+D46</f>
        <v>313224.3470989999</v>
      </c>
      <c r="E19" s="91">
        <f t="shared" si="4"/>
        <v>32062.34709899989</v>
      </c>
      <c r="F19" s="84">
        <f t="shared" si="5"/>
        <v>10.2362244174033</v>
      </c>
      <c r="G19" s="91">
        <f aca="true" t="shared" si="7" ref="G19:G41">D19-C19</f>
        <v>84460.12113699992</v>
      </c>
      <c r="H19" s="84">
        <f t="shared" si="6"/>
        <v>36.920161262902</v>
      </c>
      <c r="I19" s="86"/>
      <c r="J19" s="92" t="s">
        <v>5</v>
      </c>
      <c r="K19" s="92" t="s">
        <v>29</v>
      </c>
      <c r="L19" s="92" t="s">
        <v>30</v>
      </c>
      <c r="M19" s="104" t="s">
        <v>31</v>
      </c>
      <c r="N19" s="92" t="s">
        <v>32</v>
      </c>
      <c r="O19" s="92" t="s">
        <v>33</v>
      </c>
      <c r="P19" s="92" t="s">
        <v>29</v>
      </c>
      <c r="Q19" s="92" t="s">
        <v>34</v>
      </c>
      <c r="R19" s="92" t="s">
        <v>30</v>
      </c>
      <c r="S19" s="92" t="s">
        <v>35</v>
      </c>
      <c r="T19" s="92" t="s">
        <v>36</v>
      </c>
      <c r="U19" s="92" t="s">
        <v>37</v>
      </c>
      <c r="V19" s="92" t="s">
        <v>38</v>
      </c>
      <c r="W19" s="92" t="s">
        <v>32</v>
      </c>
      <c r="X19" s="92" t="s">
        <v>33</v>
      </c>
      <c r="Y19" s="92" t="s">
        <v>29</v>
      </c>
      <c r="Z19" s="92" t="s">
        <v>39</v>
      </c>
      <c r="AA19" s="92" t="s">
        <v>30</v>
      </c>
      <c r="AB19" s="92" t="s">
        <v>37</v>
      </c>
      <c r="AC19" s="92" t="s">
        <v>38</v>
      </c>
      <c r="AD19" s="92" t="s">
        <v>32</v>
      </c>
    </row>
    <row r="20" spans="1:30" s="72" customFormat="1" ht="30.75" customHeight="1">
      <c r="A20" s="92" t="s">
        <v>40</v>
      </c>
      <c r="B20" s="91">
        <f>SUM(B21:B43)</f>
        <v>277154</v>
      </c>
      <c r="C20" s="91">
        <f>SUM(C21:C43)</f>
        <v>225429.22596199997</v>
      </c>
      <c r="D20" s="91">
        <f>SUM(D21:D43)</f>
        <v>307844.3470989999</v>
      </c>
      <c r="E20" s="91">
        <f t="shared" si="4"/>
        <v>30690.34709899989</v>
      </c>
      <c r="F20" s="84">
        <f t="shared" si="5"/>
        <v>9.969436628677206</v>
      </c>
      <c r="G20" s="91">
        <f t="shared" si="7"/>
        <v>82415.12113699992</v>
      </c>
      <c r="H20" s="84">
        <f t="shared" si="6"/>
        <v>36.559199804417744</v>
      </c>
      <c r="I20" s="105"/>
      <c r="J20" s="94">
        <f>SUM(J21:J43)</f>
        <v>225429.22596199997</v>
      </c>
      <c r="K20" s="94">
        <f>SUM(K21:K43)</f>
        <v>99346.041544</v>
      </c>
      <c r="L20" s="94">
        <f>SUM(L21:L43)</f>
        <v>50239.184418000004</v>
      </c>
      <c r="M20" s="94">
        <f>SUM(M21:M43)</f>
        <v>70587</v>
      </c>
      <c r="N20" s="94">
        <f>SUM(N21:N43)</f>
        <v>5257</v>
      </c>
      <c r="O20" s="94">
        <f aca="true" t="shared" si="8" ref="O20:O41">P20+R20+U20+V20+W20</f>
        <v>336529.932099</v>
      </c>
      <c r="P20" s="94">
        <f aca="true" t="shared" si="9" ref="P20:W20">SUM(P21:P43)</f>
        <v>102339.104047</v>
      </c>
      <c r="Q20" s="94">
        <f t="shared" si="9"/>
        <v>92877.22836799998</v>
      </c>
      <c r="R20" s="94">
        <f t="shared" si="9"/>
        <v>108650.09968100002</v>
      </c>
      <c r="S20" s="94">
        <f t="shared" si="9"/>
        <v>18103.103500000005</v>
      </c>
      <c r="T20" s="94">
        <f t="shared" si="9"/>
        <v>9461.875679</v>
      </c>
      <c r="U20" s="94">
        <f t="shared" si="9"/>
        <v>132637.0559</v>
      </c>
      <c r="V20" s="94">
        <f t="shared" si="9"/>
        <v>-13046.327529</v>
      </c>
      <c r="W20" s="94">
        <f t="shared" si="9"/>
        <v>5950</v>
      </c>
      <c r="X20" s="94">
        <f aca="true" t="shared" si="10" ref="X20:X41">O20-J20</f>
        <v>111100.70613700006</v>
      </c>
      <c r="Y20" s="94">
        <f aca="true" t="shared" si="11" ref="Y20:AD20">SUM(Y21:Y43)</f>
        <v>2993.0625030000015</v>
      </c>
      <c r="Z20" s="94">
        <f t="shared" si="11"/>
        <v>44134.811763</v>
      </c>
      <c r="AA20" s="94">
        <f t="shared" si="11"/>
        <v>62237.915263</v>
      </c>
      <c r="AB20" s="94">
        <f t="shared" si="11"/>
        <v>62050.0559</v>
      </c>
      <c r="AC20" s="94">
        <f t="shared" si="11"/>
        <v>-13046.327529</v>
      </c>
      <c r="AD20" s="94">
        <f t="shared" si="11"/>
        <v>693</v>
      </c>
    </row>
    <row r="21" spans="1:30" s="72" customFormat="1" ht="24" customHeight="1">
      <c r="A21" s="93" t="s">
        <v>41</v>
      </c>
      <c r="B21" s="94">
        <v>27271</v>
      </c>
      <c r="C21" s="94">
        <f aca="true" t="shared" si="12" ref="C21:C41">J21</f>
        <v>18697.749411</v>
      </c>
      <c r="D21" s="94">
        <f>33867.872029-6910</f>
        <v>26957.872029</v>
      </c>
      <c r="E21" s="87">
        <f t="shared" si="4"/>
        <v>-313.1279710000017</v>
      </c>
      <c r="F21" s="88">
        <f t="shared" si="5"/>
        <v>-1.1615455799447134</v>
      </c>
      <c r="G21" s="87">
        <f t="shared" si="7"/>
        <v>8260.122617999998</v>
      </c>
      <c r="H21" s="88">
        <f t="shared" si="6"/>
        <v>44.17709552327467</v>
      </c>
      <c r="I21" s="106" t="s">
        <v>42</v>
      </c>
      <c r="J21" s="107">
        <f aca="true" t="shared" si="13" ref="J21:J41">SUM(K21:N21)</f>
        <v>18697.749411</v>
      </c>
      <c r="K21" s="107">
        <v>12048.931252</v>
      </c>
      <c r="L21" s="107">
        <v>6502.818159</v>
      </c>
      <c r="M21" s="107">
        <v>104</v>
      </c>
      <c r="N21" s="107">
        <v>42</v>
      </c>
      <c r="O21" s="94">
        <f t="shared" si="8"/>
        <v>33638.457029000005</v>
      </c>
      <c r="P21" s="107">
        <f aca="true" t="shared" si="14" ref="P21:P41">Q21+T21</f>
        <v>14379.290149</v>
      </c>
      <c r="Q21" s="107">
        <f>11519.722119-57.76</f>
        <v>11461.962119</v>
      </c>
      <c r="R21" s="107">
        <f aca="true" t="shared" si="15" ref="R21:R39">L21+AA21</f>
        <v>18852.77128</v>
      </c>
      <c r="S21" s="107">
        <f>5188.5521+23.1375</f>
        <v>5211.6896</v>
      </c>
      <c r="T21" s="107">
        <v>2917.32803</v>
      </c>
      <c r="U21" s="107">
        <f aca="true" t="shared" si="16" ref="U21:U41">M21+AB21</f>
        <v>364.3956</v>
      </c>
      <c r="V21" s="86"/>
      <c r="W21" s="107">
        <v>42</v>
      </c>
      <c r="X21" s="94">
        <f t="shared" si="10"/>
        <v>14940.707618000004</v>
      </c>
      <c r="Y21" s="107">
        <f aca="true" t="shared" si="17" ref="Y21:Y41">P21-K21</f>
        <v>2330.358897</v>
      </c>
      <c r="Z21" s="107">
        <f>7309.918521-236.655+65</f>
        <v>7138.263521</v>
      </c>
      <c r="AA21" s="107">
        <f aca="true" t="shared" si="18" ref="AA21:AA41">Z21+S21</f>
        <v>12349.953120999999</v>
      </c>
      <c r="AB21" s="107">
        <v>260.3956</v>
      </c>
      <c r="AC21" s="107"/>
      <c r="AD21" s="107">
        <f aca="true" t="shared" si="19" ref="AD21:AD41">W21-N21</f>
        <v>0</v>
      </c>
    </row>
    <row r="22" spans="1:30" s="72" customFormat="1" ht="24" customHeight="1">
      <c r="A22" s="93" t="s">
        <v>43</v>
      </c>
      <c r="B22" s="94">
        <v>298</v>
      </c>
      <c r="C22" s="94">
        <f t="shared" si="12"/>
        <v>133.16330399999998</v>
      </c>
      <c r="D22" s="94">
        <f>290.553864-141</f>
        <v>149.55386399999998</v>
      </c>
      <c r="E22" s="87">
        <f t="shared" si="4"/>
        <v>-148.44613600000002</v>
      </c>
      <c r="F22" s="88">
        <f t="shared" si="5"/>
        <v>-99.25931168184331</v>
      </c>
      <c r="G22" s="87">
        <f t="shared" si="7"/>
        <v>16.390559999999994</v>
      </c>
      <c r="H22" s="88">
        <f t="shared" si="6"/>
        <v>12.308616193542326</v>
      </c>
      <c r="I22" s="106" t="s">
        <v>44</v>
      </c>
      <c r="J22" s="107">
        <f t="shared" si="13"/>
        <v>133.16330399999998</v>
      </c>
      <c r="K22" s="107">
        <v>78.943304</v>
      </c>
      <c r="L22" s="107">
        <v>54.22</v>
      </c>
      <c r="M22" s="107"/>
      <c r="N22" s="107"/>
      <c r="O22" s="94">
        <f t="shared" si="8"/>
        <v>290.553864</v>
      </c>
      <c r="P22" s="107">
        <f t="shared" si="14"/>
        <v>87.98926399999999</v>
      </c>
      <c r="Q22" s="107">
        <v>72.395264</v>
      </c>
      <c r="R22" s="107">
        <f t="shared" si="15"/>
        <v>202.5646</v>
      </c>
      <c r="S22" s="107">
        <v>7.4589</v>
      </c>
      <c r="T22" s="107">
        <v>15.594</v>
      </c>
      <c r="U22" s="107">
        <f t="shared" si="16"/>
        <v>0</v>
      </c>
      <c r="V22" s="86"/>
      <c r="W22" s="107"/>
      <c r="X22" s="94">
        <f t="shared" si="10"/>
        <v>157.39056</v>
      </c>
      <c r="Y22" s="107">
        <f t="shared" si="17"/>
        <v>9.045959999999994</v>
      </c>
      <c r="Z22" s="107">
        <v>140.8857</v>
      </c>
      <c r="AA22" s="107">
        <f t="shared" si="18"/>
        <v>148.3446</v>
      </c>
      <c r="AB22" s="107">
        <v>0</v>
      </c>
      <c r="AC22" s="107"/>
      <c r="AD22" s="107">
        <f t="shared" si="19"/>
        <v>0</v>
      </c>
    </row>
    <row r="23" spans="1:30" s="72" customFormat="1" ht="24" customHeight="1">
      <c r="A23" s="93" t="s">
        <v>45</v>
      </c>
      <c r="B23" s="94">
        <v>20563</v>
      </c>
      <c r="C23" s="94">
        <f t="shared" si="12"/>
        <v>13464.663502</v>
      </c>
      <c r="D23" s="94">
        <f>16809.520472-369</f>
        <v>16440.520472</v>
      </c>
      <c r="E23" s="87">
        <f t="shared" si="4"/>
        <v>-4122.479528</v>
      </c>
      <c r="F23" s="88">
        <f t="shared" si="5"/>
        <v>-25.07511568761483</v>
      </c>
      <c r="G23" s="87">
        <f t="shared" si="7"/>
        <v>2975.8569700000007</v>
      </c>
      <c r="H23" s="88">
        <f t="shared" si="6"/>
        <v>22.10123535250603</v>
      </c>
      <c r="I23" s="106" t="s">
        <v>46</v>
      </c>
      <c r="J23" s="107">
        <f t="shared" si="13"/>
        <v>13464.663502</v>
      </c>
      <c r="K23" s="107">
        <v>4310.853752</v>
      </c>
      <c r="L23" s="107">
        <v>7611.80975</v>
      </c>
      <c r="M23" s="107">
        <v>1542</v>
      </c>
      <c r="N23" s="107"/>
      <c r="O23" s="94">
        <f t="shared" si="8"/>
        <v>16809.520472</v>
      </c>
      <c r="P23" s="107">
        <f t="shared" si="14"/>
        <v>4513.220714</v>
      </c>
      <c r="Q23" s="107">
        <v>3944.365814</v>
      </c>
      <c r="R23" s="107">
        <f t="shared" si="15"/>
        <v>9713.019758</v>
      </c>
      <c r="S23" s="107">
        <f>1637.268+0.15</f>
        <v>1637.4180000000001</v>
      </c>
      <c r="T23" s="107">
        <v>568.8549</v>
      </c>
      <c r="U23" s="107">
        <f t="shared" si="16"/>
        <v>2583.2799999999997</v>
      </c>
      <c r="V23" s="86"/>
      <c r="W23" s="107"/>
      <c r="X23" s="94">
        <f t="shared" si="10"/>
        <v>3344.8569700000007</v>
      </c>
      <c r="Y23" s="107">
        <f t="shared" si="17"/>
        <v>202.36696200000006</v>
      </c>
      <c r="Z23" s="107">
        <v>463.792008</v>
      </c>
      <c r="AA23" s="107">
        <f t="shared" si="18"/>
        <v>2101.210008</v>
      </c>
      <c r="AB23" s="107">
        <v>1041.28</v>
      </c>
      <c r="AC23" s="107"/>
      <c r="AD23" s="107">
        <f t="shared" si="19"/>
        <v>0</v>
      </c>
    </row>
    <row r="24" spans="1:30" s="72" customFormat="1" ht="24" customHeight="1">
      <c r="A24" s="93" t="s">
        <v>47</v>
      </c>
      <c r="B24" s="94">
        <v>52232</v>
      </c>
      <c r="C24" s="94">
        <f t="shared" si="12"/>
        <v>45254.639853</v>
      </c>
      <c r="D24" s="94">
        <f>56633.720736-113</f>
        <v>56520.720736</v>
      </c>
      <c r="E24" s="87">
        <f t="shared" si="4"/>
        <v>4288.720736000003</v>
      </c>
      <c r="F24" s="88">
        <f t="shared" si="5"/>
        <v>7.587873403157736</v>
      </c>
      <c r="G24" s="87">
        <f t="shared" si="7"/>
        <v>11266.080883000002</v>
      </c>
      <c r="H24" s="88">
        <f t="shared" si="6"/>
        <v>24.894863641817615</v>
      </c>
      <c r="I24" s="106" t="s">
        <v>48</v>
      </c>
      <c r="J24" s="107">
        <f t="shared" si="13"/>
        <v>45254.639853</v>
      </c>
      <c r="K24" s="107">
        <v>29145.000784</v>
      </c>
      <c r="L24" s="107">
        <v>6663.639069</v>
      </c>
      <c r="M24" s="107">
        <v>7390</v>
      </c>
      <c r="N24" s="107">
        <v>2056</v>
      </c>
      <c r="O24" s="94">
        <f t="shared" si="8"/>
        <v>56696.346936</v>
      </c>
      <c r="P24" s="107">
        <f t="shared" si="14"/>
        <v>27678.327162</v>
      </c>
      <c r="Q24" s="107">
        <v>25191.687062</v>
      </c>
      <c r="R24" s="107">
        <f t="shared" si="15"/>
        <v>13864.870474</v>
      </c>
      <c r="S24" s="107">
        <f>6437.1601+1.26</f>
        <v>6438.4201</v>
      </c>
      <c r="T24" s="107">
        <v>2486.6401</v>
      </c>
      <c r="U24" s="107">
        <f t="shared" si="16"/>
        <v>13097.149300000001</v>
      </c>
      <c r="V24" s="86"/>
      <c r="W24" s="107">
        <v>2056</v>
      </c>
      <c r="X24" s="94">
        <f t="shared" si="10"/>
        <v>11441.707083000001</v>
      </c>
      <c r="Y24" s="107">
        <f t="shared" si="17"/>
        <v>-1466.6736219999984</v>
      </c>
      <c r="Z24" s="107">
        <f>700.185105+62.6262</f>
        <v>762.8113050000001</v>
      </c>
      <c r="AA24" s="107">
        <f t="shared" si="18"/>
        <v>7201.231405</v>
      </c>
      <c r="AB24" s="107">
        <v>5707.1493</v>
      </c>
      <c r="AC24" s="107"/>
      <c r="AD24" s="107">
        <f t="shared" si="19"/>
        <v>0</v>
      </c>
    </row>
    <row r="25" spans="1:30" s="72" customFormat="1" ht="24" customHeight="1">
      <c r="A25" s="93" t="s">
        <v>49</v>
      </c>
      <c r="B25" s="94">
        <v>2527</v>
      </c>
      <c r="C25" s="94">
        <f t="shared" si="12"/>
        <v>715.915536</v>
      </c>
      <c r="D25" s="94">
        <f>2211.255283-1442</f>
        <v>769.255283</v>
      </c>
      <c r="E25" s="87">
        <f t="shared" si="4"/>
        <v>-1757.744717</v>
      </c>
      <c r="F25" s="88">
        <f t="shared" si="5"/>
        <v>-228.49953140978297</v>
      </c>
      <c r="G25" s="87">
        <f t="shared" si="7"/>
        <v>53.33974699999999</v>
      </c>
      <c r="H25" s="88">
        <f t="shared" si="6"/>
        <v>7.450564252037687</v>
      </c>
      <c r="I25" s="106" t="s">
        <v>50</v>
      </c>
      <c r="J25" s="107">
        <f t="shared" si="13"/>
        <v>715.915536</v>
      </c>
      <c r="K25" s="107">
        <v>462.915536</v>
      </c>
      <c r="L25" s="107">
        <v>253</v>
      </c>
      <c r="M25" s="107"/>
      <c r="N25" s="107"/>
      <c r="O25" s="94">
        <f t="shared" si="8"/>
        <v>2211.255283</v>
      </c>
      <c r="P25" s="107">
        <f t="shared" si="14"/>
        <v>410.485633</v>
      </c>
      <c r="Q25" s="107">
        <v>374.789633</v>
      </c>
      <c r="R25" s="107">
        <f t="shared" si="15"/>
        <v>1790.76965</v>
      </c>
      <c r="S25" s="107">
        <v>95.3283</v>
      </c>
      <c r="T25" s="107">
        <v>35.696</v>
      </c>
      <c r="U25" s="107">
        <f t="shared" si="16"/>
        <v>10</v>
      </c>
      <c r="V25" s="86"/>
      <c r="W25" s="107"/>
      <c r="X25" s="94">
        <f t="shared" si="10"/>
        <v>1495.339747</v>
      </c>
      <c r="Y25" s="107">
        <f t="shared" si="17"/>
        <v>-52.42990299999997</v>
      </c>
      <c r="Z25" s="107">
        <v>1442.44135</v>
      </c>
      <c r="AA25" s="107">
        <f t="shared" si="18"/>
        <v>1537.76965</v>
      </c>
      <c r="AB25" s="107">
        <v>10</v>
      </c>
      <c r="AC25" s="107"/>
      <c r="AD25" s="107">
        <f t="shared" si="19"/>
        <v>0</v>
      </c>
    </row>
    <row r="26" spans="1:30" s="73" customFormat="1" ht="24" customHeight="1">
      <c r="A26" s="93" t="s">
        <v>51</v>
      </c>
      <c r="B26" s="94">
        <v>2439</v>
      </c>
      <c r="C26" s="94">
        <f t="shared" si="12"/>
        <v>2496.399464</v>
      </c>
      <c r="D26" s="94">
        <f>4377.138502-45</f>
        <v>4332.138502</v>
      </c>
      <c r="E26" s="87">
        <f t="shared" si="4"/>
        <v>1893.1385019999998</v>
      </c>
      <c r="F26" s="88">
        <f t="shared" si="5"/>
        <v>43.699860960724195</v>
      </c>
      <c r="G26" s="87">
        <f t="shared" si="7"/>
        <v>1835.7390379999997</v>
      </c>
      <c r="H26" s="88">
        <f t="shared" si="6"/>
        <v>73.53546836044345</v>
      </c>
      <c r="I26" s="106" t="s">
        <v>52</v>
      </c>
      <c r="J26" s="107">
        <f t="shared" si="13"/>
        <v>2496.399464</v>
      </c>
      <c r="K26" s="107">
        <v>1300.578728</v>
      </c>
      <c r="L26" s="107">
        <v>844.820736</v>
      </c>
      <c r="M26" s="107">
        <v>343</v>
      </c>
      <c r="N26" s="107">
        <v>8</v>
      </c>
      <c r="O26" s="94">
        <f t="shared" si="8"/>
        <v>4377.138502</v>
      </c>
      <c r="P26" s="107">
        <f t="shared" si="14"/>
        <v>1276.9146660000001</v>
      </c>
      <c r="Q26" s="107">
        <v>1160.397148</v>
      </c>
      <c r="R26" s="107">
        <f t="shared" si="15"/>
        <v>1189.323836</v>
      </c>
      <c r="S26" s="107">
        <v>299.2981</v>
      </c>
      <c r="T26" s="107">
        <v>116.517518</v>
      </c>
      <c r="U26" s="107">
        <f t="shared" si="16"/>
        <v>1902.9</v>
      </c>
      <c r="V26" s="86"/>
      <c r="W26" s="107">
        <v>8</v>
      </c>
      <c r="X26" s="94">
        <f t="shared" si="10"/>
        <v>1880.7390379999997</v>
      </c>
      <c r="Y26" s="107">
        <f t="shared" si="17"/>
        <v>-23.66406199999983</v>
      </c>
      <c r="Z26" s="107">
        <v>45.205</v>
      </c>
      <c r="AA26" s="107">
        <f t="shared" si="18"/>
        <v>344.50309999999996</v>
      </c>
      <c r="AB26" s="107">
        <v>1559.9</v>
      </c>
      <c r="AC26" s="107"/>
      <c r="AD26" s="107">
        <f t="shared" si="19"/>
        <v>0</v>
      </c>
    </row>
    <row r="27" spans="1:30" s="72" customFormat="1" ht="24" customHeight="1">
      <c r="A27" s="93" t="s">
        <v>53</v>
      </c>
      <c r="B27" s="94">
        <v>42121</v>
      </c>
      <c r="C27" s="94">
        <f t="shared" si="12"/>
        <v>39265.342464999994</v>
      </c>
      <c r="D27" s="94">
        <f>52881.517678-189</f>
        <v>52692.517678</v>
      </c>
      <c r="E27" s="87">
        <f t="shared" si="4"/>
        <v>10571.517677999997</v>
      </c>
      <c r="F27" s="88">
        <f t="shared" si="5"/>
        <v>20.06265432713188</v>
      </c>
      <c r="G27" s="87">
        <f t="shared" si="7"/>
        <v>13427.175213000002</v>
      </c>
      <c r="H27" s="88">
        <f t="shared" si="6"/>
        <v>34.19599669853536</v>
      </c>
      <c r="I27" s="106" t="s">
        <v>54</v>
      </c>
      <c r="J27" s="107">
        <f t="shared" si="13"/>
        <v>39265.342464999994</v>
      </c>
      <c r="K27" s="107">
        <v>19551.553352</v>
      </c>
      <c r="L27" s="107">
        <v>5196.789113</v>
      </c>
      <c r="M27" s="107">
        <v>14454</v>
      </c>
      <c r="N27" s="107">
        <v>63</v>
      </c>
      <c r="O27" s="94">
        <f t="shared" si="8"/>
        <v>55813.541978</v>
      </c>
      <c r="P27" s="107">
        <f t="shared" si="14"/>
        <v>20043.281118</v>
      </c>
      <c r="Q27" s="107">
        <v>19836.547562</v>
      </c>
      <c r="R27" s="107">
        <f t="shared" si="15"/>
        <v>15819.260860000002</v>
      </c>
      <c r="S27" s="107">
        <v>597.3238</v>
      </c>
      <c r="T27" s="107">
        <v>206.733556</v>
      </c>
      <c r="U27" s="107">
        <f t="shared" si="16"/>
        <v>19888</v>
      </c>
      <c r="V27" s="86"/>
      <c r="W27" s="107">
        <v>63</v>
      </c>
      <c r="X27" s="94">
        <f t="shared" si="10"/>
        <v>16548.199513000007</v>
      </c>
      <c r="Y27" s="107">
        <f t="shared" si="17"/>
        <v>491.727766</v>
      </c>
      <c r="Z27" s="107">
        <f>7093.123647+2932.0243</f>
        <v>10025.147947000001</v>
      </c>
      <c r="AA27" s="107">
        <f t="shared" si="18"/>
        <v>10622.471747000001</v>
      </c>
      <c r="AB27" s="107">
        <v>5434</v>
      </c>
      <c r="AC27" s="107"/>
      <c r="AD27" s="107">
        <f t="shared" si="19"/>
        <v>0</v>
      </c>
    </row>
    <row r="28" spans="1:30" s="72" customFormat="1" ht="24" customHeight="1">
      <c r="A28" s="93" t="s">
        <v>55</v>
      </c>
      <c r="B28" s="94">
        <v>41084</v>
      </c>
      <c r="C28" s="94">
        <f t="shared" si="12"/>
        <v>29718.009244</v>
      </c>
      <c r="D28" s="94">
        <f>39414.047182-1009+213</f>
        <v>38618.047182</v>
      </c>
      <c r="E28" s="95">
        <f t="shared" si="4"/>
        <v>-2465.952817999998</v>
      </c>
      <c r="F28" s="88">
        <f t="shared" si="5"/>
        <v>-6.385493306739204</v>
      </c>
      <c r="G28" s="95">
        <f t="shared" si="7"/>
        <v>8900.037938000001</v>
      </c>
      <c r="H28" s="88">
        <f t="shared" si="6"/>
        <v>29.94829789884697</v>
      </c>
      <c r="I28" s="106" t="s">
        <v>56</v>
      </c>
      <c r="J28" s="107">
        <f t="shared" si="13"/>
        <v>29718.009244</v>
      </c>
      <c r="K28" s="107">
        <v>12226.537673</v>
      </c>
      <c r="L28" s="107">
        <v>2436.471571</v>
      </c>
      <c r="M28" s="107">
        <v>16758</v>
      </c>
      <c r="N28" s="107">
        <v>-1703</v>
      </c>
      <c r="O28" s="94">
        <f t="shared" si="8"/>
        <v>41061.396682000006</v>
      </c>
      <c r="P28" s="107">
        <f t="shared" si="14"/>
        <v>12075.087427</v>
      </c>
      <c r="Q28" s="107">
        <v>11880.807272</v>
      </c>
      <c r="R28" s="107">
        <f t="shared" si="15"/>
        <v>5656.414255</v>
      </c>
      <c r="S28" s="107">
        <f>482.994+0.21</f>
        <v>483.204</v>
      </c>
      <c r="T28" s="107">
        <v>194.280155</v>
      </c>
      <c r="U28" s="107">
        <f t="shared" si="16"/>
        <v>25032.895</v>
      </c>
      <c r="V28" s="86"/>
      <c r="W28" s="107">
        <v>-1703</v>
      </c>
      <c r="X28" s="94">
        <f t="shared" si="10"/>
        <v>11343.387438000005</v>
      </c>
      <c r="Y28" s="107">
        <f t="shared" si="17"/>
        <v>-151.45024600000033</v>
      </c>
      <c r="Z28" s="107">
        <f>1089.389184+1647.3495</f>
        <v>2736.738684</v>
      </c>
      <c r="AA28" s="107">
        <f t="shared" si="18"/>
        <v>3219.942684</v>
      </c>
      <c r="AB28" s="107">
        <v>8274.895</v>
      </c>
      <c r="AC28" s="107"/>
      <c r="AD28" s="107">
        <f t="shared" si="19"/>
        <v>0</v>
      </c>
    </row>
    <row r="29" spans="1:30" s="72" customFormat="1" ht="24" customHeight="1">
      <c r="A29" s="93" t="s">
        <v>57</v>
      </c>
      <c r="B29" s="96">
        <v>916</v>
      </c>
      <c r="C29" s="94">
        <f t="shared" si="12"/>
        <v>2855.896847</v>
      </c>
      <c r="D29" s="96">
        <f>5337.020803-178</f>
        <v>5159.020803</v>
      </c>
      <c r="E29" s="95">
        <f t="shared" si="4"/>
        <v>4243.020803</v>
      </c>
      <c r="F29" s="88">
        <f t="shared" si="5"/>
        <v>82.24469264657083</v>
      </c>
      <c r="G29" s="95">
        <f t="shared" si="7"/>
        <v>2303.1239560000004</v>
      </c>
      <c r="H29" s="88">
        <f t="shared" si="6"/>
        <v>80.64450781614664</v>
      </c>
      <c r="I29" s="106" t="s">
        <v>58</v>
      </c>
      <c r="J29" s="107">
        <f t="shared" si="13"/>
        <v>2855.896847</v>
      </c>
      <c r="K29" s="107">
        <v>284.362347</v>
      </c>
      <c r="L29" s="107">
        <v>34.5345</v>
      </c>
      <c r="M29" s="107">
        <v>2537</v>
      </c>
      <c r="N29" s="107"/>
      <c r="O29" s="94">
        <f t="shared" si="8"/>
        <v>5337.020803</v>
      </c>
      <c r="P29" s="107">
        <f t="shared" si="14"/>
        <v>252.145803</v>
      </c>
      <c r="Q29" s="107">
        <v>237.025803</v>
      </c>
      <c r="R29" s="107">
        <f t="shared" si="15"/>
        <v>299.875</v>
      </c>
      <c r="S29" s="107">
        <v>87.775</v>
      </c>
      <c r="T29" s="107">
        <v>15.12</v>
      </c>
      <c r="U29" s="107">
        <f t="shared" si="16"/>
        <v>4785</v>
      </c>
      <c r="V29" s="86"/>
      <c r="W29" s="107"/>
      <c r="X29" s="94">
        <f t="shared" si="10"/>
        <v>2481.1239560000004</v>
      </c>
      <c r="Y29" s="107">
        <f t="shared" si="17"/>
        <v>-32.216544</v>
      </c>
      <c r="Z29" s="107">
        <v>177.5655</v>
      </c>
      <c r="AA29" s="107">
        <f t="shared" si="18"/>
        <v>265.3405</v>
      </c>
      <c r="AB29" s="107">
        <v>2248</v>
      </c>
      <c r="AC29" s="107"/>
      <c r="AD29" s="107">
        <f t="shared" si="19"/>
        <v>0</v>
      </c>
    </row>
    <row r="30" spans="1:30" s="72" customFormat="1" ht="24" customHeight="1">
      <c r="A30" s="93" t="s">
        <v>59</v>
      </c>
      <c r="B30" s="94">
        <v>43117</v>
      </c>
      <c r="C30" s="94">
        <f t="shared" si="12"/>
        <v>7388.158566</v>
      </c>
      <c r="D30" s="94">
        <f>13362.439715-1591</f>
        <v>11771.439715</v>
      </c>
      <c r="E30" s="95">
        <f t="shared" si="4"/>
        <v>-31345.560285</v>
      </c>
      <c r="F30" s="88">
        <f t="shared" si="5"/>
        <v>-266.28484742658344</v>
      </c>
      <c r="G30" s="95">
        <f t="shared" si="7"/>
        <v>4383.281149</v>
      </c>
      <c r="H30" s="88">
        <f t="shared" si="6"/>
        <v>59.328466083168266</v>
      </c>
      <c r="I30" s="106" t="s">
        <v>60</v>
      </c>
      <c r="J30" s="107">
        <f t="shared" si="13"/>
        <v>7388.158566</v>
      </c>
      <c r="K30" s="107">
        <v>2599.76006</v>
      </c>
      <c r="L30" s="107">
        <v>4788.398506</v>
      </c>
      <c r="M30" s="107"/>
      <c r="N30" s="107"/>
      <c r="O30" s="94">
        <f t="shared" si="8"/>
        <v>13362.439715</v>
      </c>
      <c r="P30" s="107">
        <f t="shared" si="14"/>
        <v>2661.5756460000002</v>
      </c>
      <c r="Q30" s="107">
        <v>2363.338313</v>
      </c>
      <c r="R30" s="107">
        <f t="shared" si="15"/>
        <v>7439.864069000001</v>
      </c>
      <c r="S30" s="107">
        <f>1034.4518+0.9</f>
        <v>1035.3518000000001</v>
      </c>
      <c r="T30" s="107">
        <v>298.237333</v>
      </c>
      <c r="U30" s="107">
        <f t="shared" si="16"/>
        <v>3261</v>
      </c>
      <c r="V30" s="86"/>
      <c r="W30" s="107"/>
      <c r="X30" s="94">
        <f t="shared" si="10"/>
        <v>5974.281149</v>
      </c>
      <c r="Y30" s="107">
        <f t="shared" si="17"/>
        <v>61.81558600000017</v>
      </c>
      <c r="Z30" s="107">
        <v>1616.113763</v>
      </c>
      <c r="AA30" s="107">
        <f t="shared" si="18"/>
        <v>2651.465563</v>
      </c>
      <c r="AB30" s="107">
        <v>3261</v>
      </c>
      <c r="AC30" s="107"/>
      <c r="AD30" s="107">
        <f t="shared" si="19"/>
        <v>0</v>
      </c>
    </row>
    <row r="31" spans="1:30" s="72" customFormat="1" ht="24" customHeight="1">
      <c r="A31" s="93" t="s">
        <v>61</v>
      </c>
      <c r="B31" s="94">
        <v>43084</v>
      </c>
      <c r="C31" s="94">
        <f t="shared" si="12"/>
        <v>36445.31814</v>
      </c>
      <c r="D31" s="94">
        <f>60097.559145-7405</f>
        <v>52692.559145</v>
      </c>
      <c r="E31" s="95">
        <f t="shared" si="4"/>
        <v>9608.559145</v>
      </c>
      <c r="F31" s="88">
        <f t="shared" si="5"/>
        <v>18.23513471524329</v>
      </c>
      <c r="G31" s="95">
        <f t="shared" si="7"/>
        <v>16247.241004999996</v>
      </c>
      <c r="H31" s="88">
        <f t="shared" si="6"/>
        <v>44.57977549431263</v>
      </c>
      <c r="I31" s="106" t="s">
        <v>62</v>
      </c>
      <c r="J31" s="107">
        <f t="shared" si="13"/>
        <v>36445.31814</v>
      </c>
      <c r="K31" s="107">
        <v>7774.382728</v>
      </c>
      <c r="L31" s="107">
        <v>3894.935412</v>
      </c>
      <c r="M31" s="107">
        <v>20931</v>
      </c>
      <c r="N31" s="107">
        <v>3845</v>
      </c>
      <c r="O31" s="94">
        <f t="shared" si="8"/>
        <v>60097.55914500001</v>
      </c>
      <c r="P31" s="107">
        <f t="shared" si="14"/>
        <v>7414.160742</v>
      </c>
      <c r="Q31" s="107">
        <v>6889.598655</v>
      </c>
      <c r="R31" s="107">
        <f t="shared" si="15"/>
        <v>15452.602403</v>
      </c>
      <c r="S31" s="107">
        <f>1656.5542+3.89</f>
        <v>1660.4442000000001</v>
      </c>
      <c r="T31" s="107">
        <v>524.562087</v>
      </c>
      <c r="U31" s="107">
        <f t="shared" si="16"/>
        <v>33385.796</v>
      </c>
      <c r="V31" s="86"/>
      <c r="W31" s="107">
        <v>3845</v>
      </c>
      <c r="X31" s="94">
        <f t="shared" si="10"/>
        <v>23652.241005000003</v>
      </c>
      <c r="Y31" s="107">
        <f t="shared" si="17"/>
        <v>-360.22198599999956</v>
      </c>
      <c r="Z31" s="107">
        <v>9897.222791</v>
      </c>
      <c r="AA31" s="107">
        <f t="shared" si="18"/>
        <v>11557.666991</v>
      </c>
      <c r="AB31" s="107">
        <v>12454.796</v>
      </c>
      <c r="AC31" s="107"/>
      <c r="AD31" s="107">
        <f t="shared" si="19"/>
        <v>0</v>
      </c>
    </row>
    <row r="32" spans="1:30" s="72" customFormat="1" ht="24" customHeight="1">
      <c r="A32" s="93" t="s">
        <v>63</v>
      </c>
      <c r="B32" s="94">
        <v>10394</v>
      </c>
      <c r="C32" s="94">
        <f t="shared" si="12"/>
        <v>1682.72676</v>
      </c>
      <c r="D32" s="94">
        <f>7041.177269-23</f>
        <v>7018.177269</v>
      </c>
      <c r="E32" s="95">
        <f t="shared" si="4"/>
        <v>-3375.822731</v>
      </c>
      <c r="F32" s="88">
        <f t="shared" si="5"/>
        <v>-48.10113226850726</v>
      </c>
      <c r="G32" s="95">
        <f t="shared" si="7"/>
        <v>5335.450509</v>
      </c>
      <c r="H32" s="88">
        <f t="shared" si="6"/>
        <v>317.0717097884626</v>
      </c>
      <c r="I32" s="106" t="s">
        <v>64</v>
      </c>
      <c r="J32" s="107">
        <f t="shared" si="13"/>
        <v>1682.72676</v>
      </c>
      <c r="K32" s="107">
        <v>698.42676</v>
      </c>
      <c r="L32" s="107">
        <v>476.3</v>
      </c>
      <c r="M32" s="107">
        <v>508</v>
      </c>
      <c r="N32" s="107"/>
      <c r="O32" s="94">
        <f t="shared" si="8"/>
        <v>7041.177269</v>
      </c>
      <c r="P32" s="107">
        <f t="shared" si="14"/>
        <v>707.127169</v>
      </c>
      <c r="Q32" s="107">
        <v>648.265169</v>
      </c>
      <c r="R32" s="107">
        <f t="shared" si="15"/>
        <v>667.4701</v>
      </c>
      <c r="S32" s="107">
        <v>146.5515</v>
      </c>
      <c r="T32" s="107">
        <v>58.862</v>
      </c>
      <c r="U32" s="107">
        <f t="shared" si="16"/>
        <v>5666.58</v>
      </c>
      <c r="V32" s="86"/>
      <c r="W32" s="107"/>
      <c r="X32" s="94">
        <f t="shared" si="10"/>
        <v>5358.450509</v>
      </c>
      <c r="Y32" s="107">
        <f t="shared" si="17"/>
        <v>8.700409000000036</v>
      </c>
      <c r="Z32" s="107">
        <v>44.6186</v>
      </c>
      <c r="AA32" s="107">
        <f t="shared" si="18"/>
        <v>191.1701</v>
      </c>
      <c r="AB32" s="107">
        <v>5158.58</v>
      </c>
      <c r="AC32" s="107"/>
      <c r="AD32" s="107">
        <f t="shared" si="19"/>
        <v>0</v>
      </c>
    </row>
    <row r="33" spans="1:30" s="72" customFormat="1" ht="24" customHeight="1">
      <c r="A33" s="93" t="s">
        <v>65</v>
      </c>
      <c r="B33" s="94">
        <v>2322</v>
      </c>
      <c r="C33" s="94">
        <f t="shared" si="12"/>
        <v>0</v>
      </c>
      <c r="D33" s="94">
        <f>8262.2727-4898</f>
        <v>3364.2726999999995</v>
      </c>
      <c r="E33" s="95">
        <f t="shared" si="4"/>
        <v>1042.2726999999995</v>
      </c>
      <c r="F33" s="88">
        <f t="shared" si="5"/>
        <v>30.980624727597135</v>
      </c>
      <c r="G33" s="95">
        <f t="shared" si="7"/>
        <v>3364.2726999999995</v>
      </c>
      <c r="H33" s="88" t="e">
        <f t="shared" si="6"/>
        <v>#DIV/0!</v>
      </c>
      <c r="I33" s="106" t="s">
        <v>66</v>
      </c>
      <c r="J33" s="107">
        <f t="shared" si="13"/>
        <v>0</v>
      </c>
      <c r="K33" s="107"/>
      <c r="L33" s="107"/>
      <c r="M33" s="107"/>
      <c r="N33" s="107"/>
      <c r="O33" s="94">
        <f t="shared" si="8"/>
        <v>8262.272700000001</v>
      </c>
      <c r="P33" s="107">
        <f t="shared" si="14"/>
        <v>45.7968</v>
      </c>
      <c r="Q33" s="107">
        <v>45.7968</v>
      </c>
      <c r="R33" s="107">
        <f t="shared" si="15"/>
        <v>4898.4759</v>
      </c>
      <c r="S33" s="107"/>
      <c r="T33" s="107"/>
      <c r="U33" s="107">
        <f t="shared" si="16"/>
        <v>3318</v>
      </c>
      <c r="V33" s="86"/>
      <c r="W33" s="107"/>
      <c r="X33" s="94">
        <f t="shared" si="10"/>
        <v>8262.272700000001</v>
      </c>
      <c r="Y33" s="107">
        <f t="shared" si="17"/>
        <v>45.7968</v>
      </c>
      <c r="Z33" s="107">
        <v>4898.4759</v>
      </c>
      <c r="AA33" s="107">
        <f t="shared" si="18"/>
        <v>4898.4759</v>
      </c>
      <c r="AB33" s="107">
        <v>3318</v>
      </c>
      <c r="AC33" s="107"/>
      <c r="AD33" s="107">
        <f t="shared" si="19"/>
        <v>0</v>
      </c>
    </row>
    <row r="34" spans="1:30" s="72" customFormat="1" ht="24" customHeight="1">
      <c r="A34" s="93" t="s">
        <v>67</v>
      </c>
      <c r="B34" s="94">
        <v>1215</v>
      </c>
      <c r="C34" s="94">
        <f t="shared" si="12"/>
        <v>1671.888469</v>
      </c>
      <c r="D34" s="94">
        <v>3581.665575</v>
      </c>
      <c r="E34" s="95">
        <f t="shared" si="4"/>
        <v>2366.665575</v>
      </c>
      <c r="F34" s="88">
        <f t="shared" si="5"/>
        <v>66.07723489092082</v>
      </c>
      <c r="G34" s="95">
        <f t="shared" si="7"/>
        <v>1909.777106</v>
      </c>
      <c r="H34" s="88">
        <f t="shared" si="6"/>
        <v>114.22873842429738</v>
      </c>
      <c r="I34" s="106" t="s">
        <v>68</v>
      </c>
      <c r="J34" s="107">
        <f t="shared" si="13"/>
        <v>1671.888469</v>
      </c>
      <c r="K34" s="107">
        <v>406.888469</v>
      </c>
      <c r="L34" s="107">
        <v>449</v>
      </c>
      <c r="M34" s="107"/>
      <c r="N34" s="107">
        <v>816</v>
      </c>
      <c r="O34" s="94">
        <f t="shared" si="8"/>
        <v>3581.665575</v>
      </c>
      <c r="P34" s="107">
        <f t="shared" si="14"/>
        <v>362.574275</v>
      </c>
      <c r="Q34" s="107">
        <v>332.859275</v>
      </c>
      <c r="R34" s="107">
        <f t="shared" si="15"/>
        <v>533.0913</v>
      </c>
      <c r="S34" s="107">
        <v>84.0913</v>
      </c>
      <c r="T34" s="107">
        <v>29.715</v>
      </c>
      <c r="U34" s="107">
        <f t="shared" si="16"/>
        <v>1870</v>
      </c>
      <c r="V34" s="86"/>
      <c r="W34" s="107">
        <v>816</v>
      </c>
      <c r="X34" s="94">
        <f t="shared" si="10"/>
        <v>1909.777106</v>
      </c>
      <c r="Y34" s="107">
        <f t="shared" si="17"/>
        <v>-44.314193999999986</v>
      </c>
      <c r="Z34" s="107"/>
      <c r="AA34" s="107">
        <f t="shared" si="18"/>
        <v>84.0913</v>
      </c>
      <c r="AB34" s="107">
        <v>1870</v>
      </c>
      <c r="AC34" s="107"/>
      <c r="AD34" s="107">
        <f t="shared" si="19"/>
        <v>0</v>
      </c>
    </row>
    <row r="35" spans="1:30" ht="24" customHeight="1">
      <c r="A35" s="93" t="s">
        <v>69</v>
      </c>
      <c r="B35" s="94">
        <v>30</v>
      </c>
      <c r="C35" s="94">
        <f t="shared" si="12"/>
        <v>0</v>
      </c>
      <c r="D35" s="94">
        <v>20</v>
      </c>
      <c r="E35" s="95">
        <f t="shared" si="4"/>
        <v>-10</v>
      </c>
      <c r="F35" s="88">
        <f t="shared" si="5"/>
        <v>-50</v>
      </c>
      <c r="G35" s="95">
        <f t="shared" si="7"/>
        <v>20</v>
      </c>
      <c r="H35" s="88"/>
      <c r="I35" s="106" t="s">
        <v>70</v>
      </c>
      <c r="J35" s="107">
        <f t="shared" si="13"/>
        <v>0</v>
      </c>
      <c r="K35" s="107"/>
      <c r="L35" s="107"/>
      <c r="M35" s="107"/>
      <c r="N35" s="107"/>
      <c r="O35" s="94">
        <f t="shared" si="8"/>
        <v>20</v>
      </c>
      <c r="P35" s="107">
        <f t="shared" si="14"/>
        <v>0</v>
      </c>
      <c r="Q35" s="107"/>
      <c r="R35" s="107">
        <f t="shared" si="15"/>
        <v>0</v>
      </c>
      <c r="S35" s="107"/>
      <c r="T35" s="107"/>
      <c r="U35" s="107">
        <f t="shared" si="16"/>
        <v>20</v>
      </c>
      <c r="V35" s="86"/>
      <c r="W35" s="107"/>
      <c r="X35" s="94">
        <f t="shared" si="10"/>
        <v>20</v>
      </c>
      <c r="Y35" s="107">
        <f t="shared" si="17"/>
        <v>0</v>
      </c>
      <c r="Z35" s="107"/>
      <c r="AA35" s="107">
        <f t="shared" si="18"/>
        <v>0</v>
      </c>
      <c r="AB35" s="107">
        <v>20</v>
      </c>
      <c r="AC35" s="107"/>
      <c r="AD35" s="107">
        <f t="shared" si="19"/>
        <v>0</v>
      </c>
    </row>
    <row r="36" spans="1:30" ht="24" customHeight="1">
      <c r="A36" s="93" t="s">
        <v>71</v>
      </c>
      <c r="B36" s="94">
        <v>1618</v>
      </c>
      <c r="C36" s="94">
        <f t="shared" si="12"/>
        <v>1086.551535</v>
      </c>
      <c r="D36" s="94">
        <f>5572.52266-4000</f>
        <v>1572.5226599999996</v>
      </c>
      <c r="E36" s="95">
        <f t="shared" si="4"/>
        <v>-45.47734000000037</v>
      </c>
      <c r="F36" s="88">
        <f t="shared" si="5"/>
        <v>-2.891999025311367</v>
      </c>
      <c r="G36" s="95">
        <f t="shared" si="7"/>
        <v>485.9711249999996</v>
      </c>
      <c r="H36" s="88">
        <f aca="true" t="shared" si="20" ref="H36:H41">G36/C36*100</f>
        <v>44.72600786487311</v>
      </c>
      <c r="I36" s="106" t="s">
        <v>72</v>
      </c>
      <c r="J36" s="107">
        <f t="shared" si="13"/>
        <v>1086.551535</v>
      </c>
      <c r="K36" s="107">
        <v>809.358605</v>
      </c>
      <c r="L36" s="107">
        <v>277.19293</v>
      </c>
      <c r="M36" s="107"/>
      <c r="N36" s="107"/>
      <c r="O36" s="94">
        <f t="shared" si="8"/>
        <v>6918.5226600000005</v>
      </c>
      <c r="P36" s="107">
        <f t="shared" si="14"/>
        <v>770.242656</v>
      </c>
      <c r="Q36" s="107">
        <v>693.829656</v>
      </c>
      <c r="R36" s="107">
        <f t="shared" si="15"/>
        <v>4802.280004</v>
      </c>
      <c r="S36" s="107">
        <v>191.8395</v>
      </c>
      <c r="T36" s="107">
        <v>76.413</v>
      </c>
      <c r="U36" s="107">
        <f t="shared" si="16"/>
        <v>1346</v>
      </c>
      <c r="V36" s="86"/>
      <c r="W36" s="107"/>
      <c r="X36" s="94">
        <f t="shared" si="10"/>
        <v>5831.971125</v>
      </c>
      <c r="Y36" s="107">
        <f t="shared" si="17"/>
        <v>-39.115949</v>
      </c>
      <c r="Z36" s="107">
        <v>4333.247574</v>
      </c>
      <c r="AA36" s="107">
        <f t="shared" si="18"/>
        <v>4525.087074</v>
      </c>
      <c r="AB36" s="107">
        <v>1346</v>
      </c>
      <c r="AC36" s="107"/>
      <c r="AD36" s="107">
        <f t="shared" si="19"/>
        <v>0</v>
      </c>
    </row>
    <row r="37" spans="1:30" ht="24" customHeight="1">
      <c r="A37" s="93" t="s">
        <v>73</v>
      </c>
      <c r="B37" s="94">
        <v>18700</v>
      </c>
      <c r="C37" s="94">
        <f t="shared" si="12"/>
        <v>13550.587948</v>
      </c>
      <c r="D37" s="94">
        <v>15316.067336</v>
      </c>
      <c r="E37" s="95">
        <f t="shared" si="4"/>
        <v>-3383.932664</v>
      </c>
      <c r="F37" s="88">
        <f t="shared" si="5"/>
        <v>-22.094004875821867</v>
      </c>
      <c r="G37" s="95">
        <f t="shared" si="7"/>
        <v>1765.4793879999997</v>
      </c>
      <c r="H37" s="88">
        <f t="shared" si="20"/>
        <v>13.028802844385625</v>
      </c>
      <c r="I37" s="106" t="s">
        <v>74</v>
      </c>
      <c r="J37" s="107">
        <f t="shared" si="13"/>
        <v>13550.587948</v>
      </c>
      <c r="K37" s="107">
        <v>7346.479836</v>
      </c>
      <c r="L37" s="107">
        <v>184.108112</v>
      </c>
      <c r="M37" s="107">
        <v>6020</v>
      </c>
      <c r="N37" s="107"/>
      <c r="O37" s="94">
        <f t="shared" si="8"/>
        <v>21562.127336</v>
      </c>
      <c r="P37" s="107">
        <f t="shared" si="14"/>
        <v>7407.844494</v>
      </c>
      <c r="Q37" s="107">
        <v>7407.844494</v>
      </c>
      <c r="R37" s="107">
        <f t="shared" si="15"/>
        <v>542.222842</v>
      </c>
      <c r="S37" s="107">
        <v>21.7171</v>
      </c>
      <c r="T37" s="107"/>
      <c r="U37" s="107">
        <f t="shared" si="16"/>
        <v>13612.060000000001</v>
      </c>
      <c r="V37" s="86"/>
      <c r="W37" s="107"/>
      <c r="X37" s="94">
        <f t="shared" si="10"/>
        <v>8011.539388000001</v>
      </c>
      <c r="Y37" s="107">
        <f t="shared" si="17"/>
        <v>61.36465799999951</v>
      </c>
      <c r="Z37" s="107">
        <v>336.39763</v>
      </c>
      <c r="AA37" s="107">
        <f t="shared" si="18"/>
        <v>358.11473</v>
      </c>
      <c r="AB37" s="107">
        <v>7592.06</v>
      </c>
      <c r="AC37" s="107"/>
      <c r="AD37" s="107">
        <f t="shared" si="19"/>
        <v>0</v>
      </c>
    </row>
    <row r="38" spans="1:30" ht="24" customHeight="1">
      <c r="A38" s="93" t="s">
        <v>75</v>
      </c>
      <c r="B38" s="94">
        <v>249</v>
      </c>
      <c r="C38" s="94">
        <f t="shared" si="12"/>
        <v>100</v>
      </c>
      <c r="D38" s="94">
        <v>7692.06</v>
      </c>
      <c r="E38" s="95">
        <f t="shared" si="4"/>
        <v>7443.06</v>
      </c>
      <c r="F38" s="88">
        <f t="shared" si="5"/>
        <v>96.76289576524364</v>
      </c>
      <c r="G38" s="95">
        <f t="shared" si="7"/>
        <v>7592.06</v>
      </c>
      <c r="H38" s="88">
        <f t="shared" si="20"/>
        <v>7592.06</v>
      </c>
      <c r="I38" s="106" t="s">
        <v>76</v>
      </c>
      <c r="J38" s="107">
        <f t="shared" si="13"/>
        <v>100</v>
      </c>
      <c r="K38" s="107"/>
      <c r="L38" s="107"/>
      <c r="M38" s="107"/>
      <c r="N38" s="107">
        <v>100</v>
      </c>
      <c r="O38" s="94">
        <f t="shared" si="8"/>
        <v>1229</v>
      </c>
      <c r="P38" s="107">
        <f t="shared" si="14"/>
        <v>0</v>
      </c>
      <c r="Q38" s="107"/>
      <c r="R38" s="107">
        <f t="shared" si="15"/>
        <v>0</v>
      </c>
      <c r="S38" s="107"/>
      <c r="T38" s="107"/>
      <c r="U38" s="107">
        <f t="shared" si="16"/>
        <v>1129</v>
      </c>
      <c r="V38" s="86"/>
      <c r="W38" s="107">
        <v>100</v>
      </c>
      <c r="X38" s="94">
        <f t="shared" si="10"/>
        <v>1129</v>
      </c>
      <c r="Y38" s="107">
        <f t="shared" si="17"/>
        <v>0</v>
      </c>
      <c r="Z38" s="107"/>
      <c r="AA38" s="107">
        <f t="shared" si="18"/>
        <v>0</v>
      </c>
      <c r="AB38" s="107">
        <v>1129</v>
      </c>
      <c r="AC38" s="107"/>
      <c r="AD38" s="107">
        <f t="shared" si="19"/>
        <v>0</v>
      </c>
    </row>
    <row r="39" spans="1:30" ht="24" customHeight="1">
      <c r="A39" s="93" t="s">
        <v>77</v>
      </c>
      <c r="B39" s="94">
        <v>850</v>
      </c>
      <c r="C39" s="94">
        <f t="shared" si="12"/>
        <v>1244.2149180000001</v>
      </c>
      <c r="D39" s="94">
        <v>2560.805779</v>
      </c>
      <c r="E39" s="95">
        <f t="shared" si="4"/>
        <v>1710.8057789999998</v>
      </c>
      <c r="F39" s="88">
        <f t="shared" si="5"/>
        <v>66.80732264155047</v>
      </c>
      <c r="G39" s="95">
        <f t="shared" si="7"/>
        <v>1316.5908609999997</v>
      </c>
      <c r="H39" s="88">
        <f t="shared" si="20"/>
        <v>105.81699688317028</v>
      </c>
      <c r="I39" s="106" t="s">
        <v>78</v>
      </c>
      <c r="J39" s="107">
        <f t="shared" si="13"/>
        <v>1244.2149180000001</v>
      </c>
      <c r="K39" s="107">
        <v>301.068358</v>
      </c>
      <c r="L39" s="107">
        <v>943.14656</v>
      </c>
      <c r="M39" s="107"/>
      <c r="N39" s="107"/>
      <c r="O39" s="94">
        <f t="shared" si="8"/>
        <v>1804.805779</v>
      </c>
      <c r="P39" s="107">
        <f t="shared" si="14"/>
        <v>392.040329</v>
      </c>
      <c r="Q39" s="107">
        <v>335.718329</v>
      </c>
      <c r="R39" s="107">
        <f t="shared" si="15"/>
        <v>1039.76545</v>
      </c>
      <c r="S39" s="107">
        <v>93.3123</v>
      </c>
      <c r="T39" s="107">
        <v>56.322</v>
      </c>
      <c r="U39" s="107">
        <f t="shared" si="16"/>
        <v>373</v>
      </c>
      <c r="V39" s="86"/>
      <c r="W39" s="107"/>
      <c r="X39" s="94">
        <f t="shared" si="10"/>
        <v>560.5908609999999</v>
      </c>
      <c r="Y39" s="107">
        <f t="shared" si="17"/>
        <v>90.971971</v>
      </c>
      <c r="Z39" s="107">
        <v>3.30659</v>
      </c>
      <c r="AA39" s="107">
        <f t="shared" si="18"/>
        <v>96.61889</v>
      </c>
      <c r="AB39" s="107">
        <v>373</v>
      </c>
      <c r="AC39" s="107"/>
      <c r="AD39" s="107">
        <f t="shared" si="19"/>
        <v>0</v>
      </c>
    </row>
    <row r="40" spans="1:30" ht="24" customHeight="1">
      <c r="A40" s="93" t="s">
        <v>79</v>
      </c>
      <c r="B40" s="94"/>
      <c r="C40" s="94">
        <f t="shared" si="12"/>
        <v>3827</v>
      </c>
      <c r="D40" s="94">
        <v>4200</v>
      </c>
      <c r="E40" s="87">
        <f t="shared" si="4"/>
        <v>4200</v>
      </c>
      <c r="F40" s="88">
        <f t="shared" si="5"/>
        <v>100</v>
      </c>
      <c r="G40" s="87">
        <f t="shared" si="7"/>
        <v>373</v>
      </c>
      <c r="H40" s="88">
        <f t="shared" si="20"/>
        <v>9.746537758035014</v>
      </c>
      <c r="I40" s="106" t="s">
        <v>80</v>
      </c>
      <c r="J40" s="107">
        <f t="shared" si="13"/>
        <v>3827</v>
      </c>
      <c r="K40" s="107"/>
      <c r="L40" s="107">
        <v>3827</v>
      </c>
      <c r="M40" s="107"/>
      <c r="N40" s="107"/>
      <c r="O40" s="94">
        <f t="shared" si="8"/>
        <v>0</v>
      </c>
      <c r="P40" s="107">
        <f t="shared" si="14"/>
        <v>0</v>
      </c>
      <c r="Q40" s="107"/>
      <c r="R40" s="107"/>
      <c r="S40" s="107"/>
      <c r="T40" s="107"/>
      <c r="U40" s="107">
        <f t="shared" si="16"/>
        <v>0</v>
      </c>
      <c r="V40" s="86"/>
      <c r="W40" s="107"/>
      <c r="X40" s="94">
        <f t="shared" si="10"/>
        <v>-3827</v>
      </c>
      <c r="Y40" s="107">
        <f t="shared" si="17"/>
        <v>0</v>
      </c>
      <c r="Z40" s="107"/>
      <c r="AA40" s="107">
        <f t="shared" si="18"/>
        <v>0</v>
      </c>
      <c r="AB40" s="107"/>
      <c r="AC40" s="107"/>
      <c r="AD40" s="107">
        <f t="shared" si="19"/>
        <v>0</v>
      </c>
    </row>
    <row r="41" spans="1:30" ht="24" customHeight="1">
      <c r="A41" s="93" t="s">
        <v>81</v>
      </c>
      <c r="B41" s="94">
        <v>2359</v>
      </c>
      <c r="C41" s="94">
        <f t="shared" si="12"/>
        <v>2501</v>
      </c>
      <c r="D41" s="94">
        <v>2501</v>
      </c>
      <c r="E41" s="87">
        <f t="shared" si="4"/>
        <v>142</v>
      </c>
      <c r="F41" s="88">
        <f t="shared" si="5"/>
        <v>5.677728908436626</v>
      </c>
      <c r="G41" s="87">
        <f t="shared" si="7"/>
        <v>0</v>
      </c>
      <c r="H41" s="88">
        <f t="shared" si="20"/>
        <v>0</v>
      </c>
      <c r="I41" s="106"/>
      <c r="J41" s="107">
        <f t="shared" si="13"/>
        <v>2501</v>
      </c>
      <c r="K41" s="107"/>
      <c r="L41" s="107">
        <v>2501</v>
      </c>
      <c r="M41" s="107"/>
      <c r="N41" s="107"/>
      <c r="O41" s="94">
        <f t="shared" si="8"/>
        <v>2501</v>
      </c>
      <c r="P41" s="107">
        <f t="shared" si="14"/>
        <v>0</v>
      </c>
      <c r="Q41" s="107"/>
      <c r="R41" s="107">
        <f>L41+AA41</f>
        <v>2501</v>
      </c>
      <c r="S41" s="107"/>
      <c r="T41" s="107"/>
      <c r="U41" s="107">
        <f t="shared" si="16"/>
        <v>0</v>
      </c>
      <c r="V41" s="86"/>
      <c r="W41" s="107"/>
      <c r="X41" s="94">
        <f t="shared" si="10"/>
        <v>0</v>
      </c>
      <c r="Y41" s="107">
        <f t="shared" si="17"/>
        <v>0</v>
      </c>
      <c r="Z41" s="107"/>
      <c r="AA41" s="107">
        <f t="shared" si="18"/>
        <v>0</v>
      </c>
      <c r="AB41" s="107">
        <v>0</v>
      </c>
      <c r="AC41" s="107"/>
      <c r="AD41" s="107">
        <f t="shared" si="19"/>
        <v>0</v>
      </c>
    </row>
    <row r="42" spans="1:30" ht="24" customHeight="1">
      <c r="A42" s="93" t="s">
        <v>82</v>
      </c>
      <c r="B42" s="94">
        <v>9</v>
      </c>
      <c r="C42" s="94"/>
      <c r="D42" s="94"/>
      <c r="E42" s="87"/>
      <c r="F42" s="88"/>
      <c r="G42" s="87"/>
      <c r="H42" s="88"/>
      <c r="I42" s="106"/>
      <c r="J42" s="107"/>
      <c r="K42" s="107"/>
      <c r="L42" s="107"/>
      <c r="M42" s="107"/>
      <c r="N42" s="107"/>
      <c r="O42" s="94"/>
      <c r="P42" s="107"/>
      <c r="Q42" s="107"/>
      <c r="R42" s="107"/>
      <c r="S42" s="107"/>
      <c r="T42" s="107"/>
      <c r="U42" s="107"/>
      <c r="V42" s="86"/>
      <c r="W42" s="107"/>
      <c r="X42" s="94"/>
      <c r="Y42" s="107"/>
      <c r="Z42" s="107"/>
      <c r="AA42" s="107"/>
      <c r="AB42" s="107"/>
      <c r="AC42" s="107"/>
      <c r="AD42" s="107"/>
    </row>
    <row r="43" spans="1:30" ht="24" customHeight="1">
      <c r="A43" s="93" t="s">
        <v>83</v>
      </c>
      <c r="B43" s="94">
        <v>-36244</v>
      </c>
      <c r="C43" s="94">
        <f>J43</f>
        <v>3330</v>
      </c>
      <c r="D43" s="94">
        <v>-6085.869629</v>
      </c>
      <c r="E43" s="87">
        <f aca="true" t="shared" si="21" ref="E43:E48">D43-B43</f>
        <v>30158.130371</v>
      </c>
      <c r="F43" s="88">
        <f>E43/D43*100</f>
        <v>-495.5434836673528</v>
      </c>
      <c r="G43" s="87">
        <f>D43-C43</f>
        <v>-9415.869629</v>
      </c>
      <c r="H43" s="88">
        <f>G43/C43*100</f>
        <v>-282.75884771771774</v>
      </c>
      <c r="I43" s="106" t="s">
        <v>84</v>
      </c>
      <c r="J43" s="107">
        <f>SUM(K43:N43)</f>
        <v>3330</v>
      </c>
      <c r="K43" s="107"/>
      <c r="L43" s="107">
        <v>3300</v>
      </c>
      <c r="M43" s="107"/>
      <c r="N43" s="107">
        <v>30</v>
      </c>
      <c r="O43" s="94">
        <f>P43+R43+U43+V43+W43</f>
        <v>-6085.869629000001</v>
      </c>
      <c r="P43" s="107">
        <f>Q43+T43</f>
        <v>1861</v>
      </c>
      <c r="Q43" s="107"/>
      <c r="R43" s="107">
        <f>L43+AA43</f>
        <v>3384.4579</v>
      </c>
      <c r="S43" s="107">
        <f>9.36+2.52</f>
        <v>11.879999999999999</v>
      </c>
      <c r="T43" s="107">
        <v>1861</v>
      </c>
      <c r="U43" s="107">
        <f>M43+AB43</f>
        <v>992</v>
      </c>
      <c r="V43" s="107">
        <f>AC43</f>
        <v>-13046.327529</v>
      </c>
      <c r="W43" s="107">
        <f>30+693</f>
        <v>723</v>
      </c>
      <c r="X43" s="94">
        <f>O43-J43</f>
        <v>-9415.869629</v>
      </c>
      <c r="Y43" s="107">
        <f>P43-K43</f>
        <v>1861</v>
      </c>
      <c r="Z43" s="107">
        <v>72.5779</v>
      </c>
      <c r="AA43" s="107">
        <f>Z43+S43</f>
        <v>84.4579</v>
      </c>
      <c r="AB43" s="107">
        <v>992</v>
      </c>
      <c r="AC43" s="107">
        <v>-13046.327529</v>
      </c>
      <c r="AD43" s="107">
        <f>W43-N43</f>
        <v>693</v>
      </c>
    </row>
    <row r="44" spans="1:9" ht="14.25">
      <c r="A44" s="92" t="s">
        <v>85</v>
      </c>
      <c r="B44" s="94">
        <v>1723</v>
      </c>
      <c r="C44" s="94">
        <v>3335</v>
      </c>
      <c r="D44" s="94">
        <v>3380</v>
      </c>
      <c r="E44" s="83">
        <f t="shared" si="21"/>
        <v>1657</v>
      </c>
      <c r="F44" s="84">
        <f>E44/D44*100</f>
        <v>49.023668639053255</v>
      </c>
      <c r="G44" s="83">
        <f>D44-C44</f>
        <v>45</v>
      </c>
      <c r="H44" s="84">
        <f>G44/C44*100</f>
        <v>1.3493253373313343</v>
      </c>
      <c r="I44" s="86" t="s">
        <v>86</v>
      </c>
    </row>
    <row r="45" spans="1:9" ht="14.25">
      <c r="A45" s="92" t="s">
        <v>87</v>
      </c>
      <c r="B45" s="94"/>
      <c r="C45" s="94"/>
      <c r="D45" s="94"/>
      <c r="E45" s="83">
        <f t="shared" si="21"/>
        <v>0</v>
      </c>
      <c r="F45" s="84"/>
      <c r="G45" s="83">
        <f>D45-C45</f>
        <v>0</v>
      </c>
      <c r="H45" s="84"/>
      <c r="I45" s="86"/>
    </row>
    <row r="46" spans="1:9" ht="14.25">
      <c r="A46" s="92" t="s">
        <v>88</v>
      </c>
      <c r="B46" s="94">
        <v>2000</v>
      </c>
      <c r="C46" s="94"/>
      <c r="D46" s="94">
        <v>2000</v>
      </c>
      <c r="E46" s="83">
        <f t="shared" si="21"/>
        <v>0</v>
      </c>
      <c r="F46" s="84">
        <f>E46/D46*100</f>
        <v>0</v>
      </c>
      <c r="G46" s="83">
        <f>D46-C46</f>
        <v>2000</v>
      </c>
      <c r="H46" s="84"/>
      <c r="I46" s="86"/>
    </row>
    <row r="47" spans="1:9" ht="14.25">
      <c r="A47" s="92" t="s">
        <v>89</v>
      </c>
      <c r="B47" s="94">
        <v>285</v>
      </c>
      <c r="C47" s="97"/>
      <c r="D47" s="97"/>
      <c r="E47" s="87">
        <f t="shared" si="21"/>
        <v>-285</v>
      </c>
      <c r="F47" s="87"/>
      <c r="G47" s="87"/>
      <c r="H47" s="87"/>
      <c r="I47" s="86"/>
    </row>
    <row r="48" spans="1:9" ht="14.25">
      <c r="A48" s="98" t="s">
        <v>90</v>
      </c>
      <c r="B48" s="99">
        <f>B7-B19</f>
        <v>5950</v>
      </c>
      <c r="C48" s="100">
        <f>C7-C19</f>
        <v>-0.22596199996769428</v>
      </c>
      <c r="D48" s="99">
        <f>D7-D19</f>
        <v>-0.3470989998895675</v>
      </c>
      <c r="E48" s="83">
        <f t="shared" si="21"/>
        <v>-5950.34709899989</v>
      </c>
      <c r="F48" s="84"/>
      <c r="G48" s="83">
        <f>D48-C48</f>
        <v>-0.12113699992187321</v>
      </c>
      <c r="H48" s="84"/>
      <c r="I48" s="86"/>
    </row>
  </sheetData>
  <sheetProtection/>
  <mergeCells count="11">
    <mergeCell ref="E5:F5"/>
    <mergeCell ref="G5:H5"/>
    <mergeCell ref="J18:N18"/>
    <mergeCell ref="O18:W18"/>
    <mergeCell ref="X18:AD18"/>
    <mergeCell ref="A5:A6"/>
    <mergeCell ref="B5:B6"/>
    <mergeCell ref="C5:C6"/>
    <mergeCell ref="D5:D6"/>
    <mergeCell ref="I5:I6"/>
    <mergeCell ref="A2:I3"/>
  </mergeCells>
  <printOptions horizontalCentered="1"/>
  <pageMargins left="0.07847222222222222" right="0.07847222222222222" top="0.4722222222222222" bottom="0.4722222222222222" header="0.15694444444444444" footer="0.3145833333333333"/>
  <pageSetup firstPageNumber="12" useFirstPageNumber="1" horizontalDpi="600" verticalDpi="600" orientation="landscape" paperSize="9" scale="90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pane xSplit="1" ySplit="6" topLeftCell="B7" activePane="bottomRight" state="frozen"/>
      <selection pane="bottomRight" activeCell="A20" sqref="A20"/>
    </sheetView>
  </sheetViews>
  <sheetFormatPr defaultColWidth="9.00390625" defaultRowHeight="14.25"/>
  <cols>
    <col min="1" max="1" width="42.375" style="36" customWidth="1"/>
    <col min="2" max="2" width="12.125" style="36" customWidth="1"/>
    <col min="3" max="3" width="13.00390625" style="36" customWidth="1"/>
    <col min="4" max="4" width="12.25390625" style="36" customWidth="1"/>
    <col min="5" max="5" width="10.875" style="36" customWidth="1"/>
    <col min="6" max="6" width="11.875" style="36" customWidth="1"/>
    <col min="7" max="7" width="11.50390625" style="36" customWidth="1"/>
    <col min="8" max="8" width="13.375" style="36" customWidth="1"/>
    <col min="9" max="9" width="46.75390625" style="36" customWidth="1"/>
    <col min="10" max="10" width="12.625" style="36" hidden="1" customWidth="1"/>
    <col min="11" max="12" width="10.375" style="36" hidden="1" customWidth="1"/>
    <col min="13" max="13" width="9.00390625" style="36" hidden="1" customWidth="1"/>
    <col min="14" max="14" width="9.375" style="36" hidden="1" customWidth="1"/>
    <col min="15" max="15" width="9.00390625" style="36" hidden="1" customWidth="1"/>
    <col min="16" max="16384" width="9.00390625" style="36" customWidth="1"/>
  </cols>
  <sheetData>
    <row r="1" spans="1:2" ht="14.25">
      <c r="A1" s="37" t="s">
        <v>91</v>
      </c>
      <c r="B1" s="37"/>
    </row>
    <row r="2" spans="1:9" ht="11.25" customHeight="1">
      <c r="A2" s="38" t="s">
        <v>92</v>
      </c>
      <c r="B2" s="38"/>
      <c r="C2" s="38"/>
      <c r="D2" s="38"/>
      <c r="E2" s="38"/>
      <c r="F2" s="38"/>
      <c r="G2" s="38"/>
      <c r="H2" s="38"/>
      <c r="I2" s="38"/>
    </row>
    <row r="3" spans="1:9" ht="11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4.25">
      <c r="A4" s="39"/>
      <c r="B4" s="39"/>
      <c r="C4" s="40"/>
      <c r="D4" s="39"/>
      <c r="E4" s="39"/>
      <c r="F4" s="39"/>
      <c r="G4" s="41"/>
      <c r="H4" s="41"/>
      <c r="I4" s="66" t="s">
        <v>2</v>
      </c>
    </row>
    <row r="5" spans="1:15" s="33" customFormat="1" ht="28.5" customHeight="1">
      <c r="A5" s="42" t="s">
        <v>3</v>
      </c>
      <c r="B5" s="42" t="s">
        <v>4</v>
      </c>
      <c r="C5" s="42" t="s">
        <v>5</v>
      </c>
      <c r="D5" s="42" t="s">
        <v>6</v>
      </c>
      <c r="E5" s="43" t="s">
        <v>7</v>
      </c>
      <c r="F5" s="43"/>
      <c r="G5" s="43" t="s">
        <v>8</v>
      </c>
      <c r="H5" s="43"/>
      <c r="I5" s="43" t="s">
        <v>93</v>
      </c>
      <c r="J5" s="33" t="s">
        <v>33</v>
      </c>
      <c r="K5" s="36" t="s">
        <v>94</v>
      </c>
      <c r="L5" s="36" t="s">
        <v>95</v>
      </c>
      <c r="M5" s="36" t="s">
        <v>96</v>
      </c>
      <c r="N5" s="33" t="s">
        <v>97</v>
      </c>
      <c r="O5" s="33" t="s">
        <v>98</v>
      </c>
    </row>
    <row r="6" spans="1:9" s="33" customFormat="1" ht="28.5" customHeight="1">
      <c r="A6" s="44"/>
      <c r="B6" s="44"/>
      <c r="C6" s="44"/>
      <c r="D6" s="44"/>
      <c r="E6" s="43" t="s">
        <v>10</v>
      </c>
      <c r="F6" s="43" t="s">
        <v>11</v>
      </c>
      <c r="G6" s="43" t="s">
        <v>10</v>
      </c>
      <c r="H6" s="43" t="s">
        <v>11</v>
      </c>
      <c r="I6" s="43"/>
    </row>
    <row r="7" spans="1:9" s="33" customFormat="1" ht="24" customHeight="1">
      <c r="A7" s="45" t="s">
        <v>99</v>
      </c>
      <c r="B7" s="46">
        <f>B8+B15+B16+B17</f>
        <v>82183</v>
      </c>
      <c r="C7" s="46">
        <f>C8+C15+C16+C17</f>
        <v>76943</v>
      </c>
      <c r="D7" s="46">
        <f>D8+D15+D16+D17</f>
        <v>235226.727</v>
      </c>
      <c r="E7" s="46">
        <f>D7-B7</f>
        <v>153043.727</v>
      </c>
      <c r="F7" s="47">
        <f>E7/B7*100</f>
        <v>186.22309601742455</v>
      </c>
      <c r="G7" s="46">
        <f aca="true" t="shared" si="0" ref="G7:G48">D7-C7</f>
        <v>158283.727</v>
      </c>
      <c r="H7" s="47">
        <f aca="true" t="shared" si="1" ref="H7:H12">G7/C7*100</f>
        <v>205.7155647687249</v>
      </c>
      <c r="I7" s="43"/>
    </row>
    <row r="8" spans="1:9" s="34" customFormat="1" ht="24" customHeight="1">
      <c r="A8" s="48" t="s">
        <v>100</v>
      </c>
      <c r="B8" s="46">
        <f>SUM(B9:B14)</f>
        <v>50717</v>
      </c>
      <c r="C8" s="46">
        <f>SUM(C9:C14)</f>
        <v>71916</v>
      </c>
      <c r="D8" s="46">
        <f>SUM(D9:D14)</f>
        <v>187187.07200000001</v>
      </c>
      <c r="E8" s="46">
        <f aca="true" t="shared" si="2" ref="E8:E48">D8-B8</f>
        <v>136470.07200000001</v>
      </c>
      <c r="F8" s="47">
        <f aca="true" t="shared" si="3" ref="F8:F43">E8/B8*100</f>
        <v>269.0815150738411</v>
      </c>
      <c r="G8" s="46">
        <f t="shared" si="0"/>
        <v>115271.07200000001</v>
      </c>
      <c r="H8" s="47">
        <f t="shared" si="1"/>
        <v>160.2857111074031</v>
      </c>
      <c r="I8" s="67"/>
    </row>
    <row r="9" spans="1:9" s="33" customFormat="1" ht="24" customHeight="1">
      <c r="A9" s="49" t="s">
        <v>101</v>
      </c>
      <c r="B9" s="50">
        <v>1733</v>
      </c>
      <c r="C9" s="50">
        <v>3529</v>
      </c>
      <c r="D9" s="50">
        <v>8745.16</v>
      </c>
      <c r="E9" s="51">
        <f t="shared" si="2"/>
        <v>7012.16</v>
      </c>
      <c r="F9" s="52">
        <f t="shared" si="3"/>
        <v>404.6255049047894</v>
      </c>
      <c r="G9" s="51">
        <f t="shared" si="0"/>
        <v>5216.16</v>
      </c>
      <c r="H9" s="52">
        <f t="shared" si="1"/>
        <v>147.80844431850383</v>
      </c>
      <c r="I9" s="49"/>
    </row>
    <row r="10" spans="1:9" s="33" customFormat="1" ht="24" customHeight="1">
      <c r="A10" s="49" t="s">
        <v>102</v>
      </c>
      <c r="B10" s="50">
        <v>131</v>
      </c>
      <c r="C10" s="50">
        <v>923</v>
      </c>
      <c r="D10" s="50">
        <v>1338.712</v>
      </c>
      <c r="E10" s="51">
        <f t="shared" si="2"/>
        <v>1207.712</v>
      </c>
      <c r="F10" s="52">
        <f t="shared" si="3"/>
        <v>921.9175572519084</v>
      </c>
      <c r="G10" s="51">
        <f t="shared" si="0"/>
        <v>415.712</v>
      </c>
      <c r="H10" s="52">
        <f t="shared" si="1"/>
        <v>45.039219934994584</v>
      </c>
      <c r="I10" s="49"/>
    </row>
    <row r="11" spans="1:9" s="33" customFormat="1" ht="33" customHeight="1">
      <c r="A11" s="49" t="s">
        <v>103</v>
      </c>
      <c r="B11" s="50">
        <v>47793</v>
      </c>
      <c r="C11" s="50">
        <v>66204</v>
      </c>
      <c r="D11" s="50">
        <v>174903.2</v>
      </c>
      <c r="E11" s="51">
        <f t="shared" si="2"/>
        <v>127110.20000000001</v>
      </c>
      <c r="F11" s="52">
        <f t="shared" si="3"/>
        <v>265.9598686000042</v>
      </c>
      <c r="G11" s="51">
        <f t="shared" si="0"/>
        <v>108699.20000000001</v>
      </c>
      <c r="H11" s="52">
        <f t="shared" si="1"/>
        <v>164.1882665699958</v>
      </c>
      <c r="I11" s="49" t="s">
        <v>104</v>
      </c>
    </row>
    <row r="12" spans="1:9" s="33" customFormat="1" ht="24" customHeight="1">
      <c r="A12" s="49" t="s">
        <v>105</v>
      </c>
      <c r="B12" s="50">
        <v>1035</v>
      </c>
      <c r="C12" s="50">
        <v>1200</v>
      </c>
      <c r="D12" s="50">
        <v>1100</v>
      </c>
      <c r="E12" s="51">
        <f t="shared" si="2"/>
        <v>65</v>
      </c>
      <c r="F12" s="52">
        <f t="shared" si="3"/>
        <v>6.280193236714976</v>
      </c>
      <c r="G12" s="51">
        <f t="shared" si="0"/>
        <v>-100</v>
      </c>
      <c r="H12" s="52">
        <f t="shared" si="1"/>
        <v>-8.333333333333332</v>
      </c>
      <c r="I12" s="49"/>
    </row>
    <row r="13" spans="1:9" s="33" customFormat="1" ht="24" customHeight="1">
      <c r="A13" s="49" t="s">
        <v>106</v>
      </c>
      <c r="B13" s="50"/>
      <c r="C13" s="50"/>
      <c r="D13" s="50">
        <v>1100</v>
      </c>
      <c r="E13" s="51">
        <f t="shared" si="2"/>
        <v>1100</v>
      </c>
      <c r="F13" s="52"/>
      <c r="G13" s="51">
        <f t="shared" si="0"/>
        <v>1100</v>
      </c>
      <c r="H13" s="52"/>
      <c r="I13" s="49"/>
    </row>
    <row r="14" spans="1:9" s="33" customFormat="1" ht="24" customHeight="1">
      <c r="A14" s="49" t="s">
        <v>107</v>
      </c>
      <c r="B14" s="53">
        <v>25</v>
      </c>
      <c r="C14" s="53">
        <v>60</v>
      </c>
      <c r="D14" s="53"/>
      <c r="E14" s="51">
        <f t="shared" si="2"/>
        <v>-25</v>
      </c>
      <c r="F14" s="52">
        <f t="shared" si="3"/>
        <v>-100</v>
      </c>
      <c r="G14" s="51">
        <f t="shared" si="0"/>
        <v>-60</v>
      </c>
      <c r="H14" s="52">
        <f aca="true" t="shared" si="4" ref="H14:H19">G14/C14*100</f>
        <v>-100</v>
      </c>
      <c r="I14" s="68"/>
    </row>
    <row r="15" spans="1:9" ht="24" customHeight="1">
      <c r="A15" s="48" t="s">
        <v>108</v>
      </c>
      <c r="B15" s="46">
        <v>4805</v>
      </c>
      <c r="C15" s="46"/>
      <c r="D15" s="46">
        <f>12463.655</f>
        <v>12463.655</v>
      </c>
      <c r="E15" s="46">
        <f t="shared" si="2"/>
        <v>7658.655000000001</v>
      </c>
      <c r="F15" s="47">
        <f t="shared" si="3"/>
        <v>159.38928199791883</v>
      </c>
      <c r="G15" s="46">
        <f t="shared" si="0"/>
        <v>12463.655</v>
      </c>
      <c r="H15" s="47"/>
      <c r="I15" s="68"/>
    </row>
    <row r="16" spans="1:9" ht="24" customHeight="1">
      <c r="A16" s="48" t="s">
        <v>109</v>
      </c>
      <c r="B16" s="46">
        <v>3961</v>
      </c>
      <c r="C16" s="46">
        <v>5027</v>
      </c>
      <c r="D16" s="46">
        <v>4276</v>
      </c>
      <c r="E16" s="46">
        <f t="shared" si="2"/>
        <v>315</v>
      </c>
      <c r="F16" s="47">
        <f t="shared" si="3"/>
        <v>7.952537238071194</v>
      </c>
      <c r="G16" s="46">
        <f t="shared" si="0"/>
        <v>-751</v>
      </c>
      <c r="H16" s="47"/>
      <c r="I16" s="68"/>
    </row>
    <row r="17" spans="1:9" ht="24" customHeight="1">
      <c r="A17" s="48" t="s">
        <v>22</v>
      </c>
      <c r="B17" s="46">
        <v>22700</v>
      </c>
      <c r="C17" s="46"/>
      <c r="D17" s="46">
        <f>31300</f>
        <v>31300</v>
      </c>
      <c r="E17" s="46">
        <f t="shared" si="2"/>
        <v>8600</v>
      </c>
      <c r="F17" s="47">
        <f t="shared" si="3"/>
        <v>37.88546255506608</v>
      </c>
      <c r="G17" s="46">
        <f t="shared" si="0"/>
        <v>31300</v>
      </c>
      <c r="H17" s="47"/>
      <c r="I17" s="68"/>
    </row>
    <row r="18" spans="1:9" ht="24" customHeight="1">
      <c r="A18" s="45" t="s">
        <v>110</v>
      </c>
      <c r="B18" s="46">
        <f>B19+B47</f>
        <v>77907</v>
      </c>
      <c r="C18" s="46">
        <f>C19+C47</f>
        <v>71664</v>
      </c>
      <c r="D18" s="46">
        <f>D19+D47</f>
        <v>231956.087</v>
      </c>
      <c r="E18" s="46">
        <f t="shared" si="2"/>
        <v>154049.087</v>
      </c>
      <c r="F18" s="47">
        <f t="shared" si="3"/>
        <v>197.7345899598239</v>
      </c>
      <c r="G18" s="46">
        <f t="shared" si="0"/>
        <v>160292.087</v>
      </c>
      <c r="H18" s="47">
        <f t="shared" si="4"/>
        <v>223.67169987720473</v>
      </c>
      <c r="I18" s="68"/>
    </row>
    <row r="19" spans="1:9" ht="24" customHeight="1">
      <c r="A19" s="48" t="s">
        <v>111</v>
      </c>
      <c r="B19" s="54">
        <f>B20+B23+B26+B33+B36+B44+B42+B40</f>
        <v>51682</v>
      </c>
      <c r="C19" s="54">
        <f>C20+C23+C26+C33+C36+C44+C42+C40</f>
        <v>71664</v>
      </c>
      <c r="D19" s="54">
        <f>D20+D23+D26+D33+D36+D44+D42+D40</f>
        <v>231956.087</v>
      </c>
      <c r="E19" s="54">
        <f t="shared" si="2"/>
        <v>180274.087</v>
      </c>
      <c r="F19" s="47">
        <f t="shared" si="3"/>
        <v>348.8140687279904</v>
      </c>
      <c r="G19" s="54">
        <f t="shared" si="0"/>
        <v>160292.087</v>
      </c>
      <c r="H19" s="47">
        <f t="shared" si="4"/>
        <v>223.67169987720473</v>
      </c>
      <c r="I19" s="68"/>
    </row>
    <row r="20" spans="1:9" ht="24" customHeight="1">
      <c r="A20" s="55" t="s">
        <v>112</v>
      </c>
      <c r="B20" s="54">
        <f>B21+B22</f>
        <v>6</v>
      </c>
      <c r="C20" s="54">
        <f>C21+C22</f>
        <v>0</v>
      </c>
      <c r="D20" s="54">
        <f>D21+D22</f>
        <v>101</v>
      </c>
      <c r="E20" s="54">
        <f t="shared" si="2"/>
        <v>95</v>
      </c>
      <c r="F20" s="56">
        <f t="shared" si="3"/>
        <v>1583.3333333333335</v>
      </c>
      <c r="G20" s="54">
        <f t="shared" si="0"/>
        <v>101</v>
      </c>
      <c r="H20" s="56"/>
      <c r="I20" s="68"/>
    </row>
    <row r="21" spans="1:13" ht="24" customHeight="1">
      <c r="A21" s="57" t="s">
        <v>113</v>
      </c>
      <c r="B21" s="58">
        <v>6</v>
      </c>
      <c r="C21" s="54"/>
      <c r="D21" s="58">
        <f>1+26</f>
        <v>27</v>
      </c>
      <c r="E21" s="58">
        <f t="shared" si="2"/>
        <v>21</v>
      </c>
      <c r="F21" s="59">
        <f t="shared" si="3"/>
        <v>350</v>
      </c>
      <c r="G21" s="58">
        <f t="shared" si="0"/>
        <v>27</v>
      </c>
      <c r="H21" s="59"/>
      <c r="I21" s="69" t="s">
        <v>114</v>
      </c>
      <c r="J21" s="36">
        <f aca="true" t="shared" si="5" ref="J21:J30">SUM(K21:O21)</f>
        <v>27</v>
      </c>
      <c r="L21" s="36">
        <v>26</v>
      </c>
      <c r="M21" s="36">
        <v>1</v>
      </c>
    </row>
    <row r="22" spans="1:13" ht="24" customHeight="1">
      <c r="A22" s="57" t="s">
        <v>115</v>
      </c>
      <c r="B22" s="58"/>
      <c r="C22" s="54">
        <v>0</v>
      </c>
      <c r="D22" s="58">
        <f>25+49</f>
        <v>74</v>
      </c>
      <c r="E22" s="58">
        <f t="shared" si="2"/>
        <v>74</v>
      </c>
      <c r="F22" s="59" t="e">
        <f t="shared" si="3"/>
        <v>#DIV/0!</v>
      </c>
      <c r="G22" s="58">
        <f t="shared" si="0"/>
        <v>74</v>
      </c>
      <c r="H22" s="59"/>
      <c r="I22" s="69" t="s">
        <v>114</v>
      </c>
      <c r="J22" s="36">
        <f t="shared" si="5"/>
        <v>74</v>
      </c>
      <c r="L22" s="36">
        <v>49</v>
      </c>
      <c r="M22" s="36">
        <v>25</v>
      </c>
    </row>
    <row r="23" spans="1:10" ht="24" customHeight="1">
      <c r="A23" s="55" t="s">
        <v>116</v>
      </c>
      <c r="B23" s="54">
        <f>B24+B25</f>
        <v>319</v>
      </c>
      <c r="C23" s="54">
        <f>C24+C25</f>
        <v>0</v>
      </c>
      <c r="D23" s="54">
        <f>D24+D25</f>
        <v>872.2</v>
      </c>
      <c r="E23" s="54">
        <f t="shared" si="2"/>
        <v>553.2</v>
      </c>
      <c r="F23" s="56">
        <f t="shared" si="3"/>
        <v>173.41692789968653</v>
      </c>
      <c r="G23" s="54">
        <f t="shared" si="0"/>
        <v>872.2</v>
      </c>
      <c r="H23" s="56"/>
      <c r="I23" s="68"/>
      <c r="J23" s="36">
        <f t="shared" si="5"/>
        <v>0</v>
      </c>
    </row>
    <row r="24" spans="1:13" ht="24" customHeight="1">
      <c r="A24" s="57" t="s">
        <v>117</v>
      </c>
      <c r="B24" s="58">
        <v>297</v>
      </c>
      <c r="C24" s="54">
        <v>0</v>
      </c>
      <c r="D24" s="58">
        <f>618.2+212</f>
        <v>830.2</v>
      </c>
      <c r="E24" s="58">
        <f t="shared" si="2"/>
        <v>533.2</v>
      </c>
      <c r="F24" s="59">
        <f t="shared" si="3"/>
        <v>179.52861952861954</v>
      </c>
      <c r="G24" s="58">
        <f t="shared" si="0"/>
        <v>830.2</v>
      </c>
      <c r="H24" s="59"/>
      <c r="I24" s="69" t="s">
        <v>114</v>
      </c>
      <c r="J24" s="36">
        <f t="shared" si="5"/>
        <v>830.2</v>
      </c>
      <c r="L24" s="36">
        <v>212</v>
      </c>
      <c r="M24" s="36">
        <v>618.2</v>
      </c>
    </row>
    <row r="25" spans="1:12" ht="24" customHeight="1">
      <c r="A25" s="57" t="s">
        <v>118</v>
      </c>
      <c r="B25" s="58">
        <v>22</v>
      </c>
      <c r="C25" s="54">
        <v>0</v>
      </c>
      <c r="D25" s="58">
        <v>42</v>
      </c>
      <c r="E25" s="58">
        <f t="shared" si="2"/>
        <v>20</v>
      </c>
      <c r="F25" s="59">
        <f t="shared" si="3"/>
        <v>90.9090909090909</v>
      </c>
      <c r="G25" s="58">
        <f t="shared" si="0"/>
        <v>42</v>
      </c>
      <c r="H25" s="59"/>
      <c r="I25" s="69" t="s">
        <v>114</v>
      </c>
      <c r="J25" s="36">
        <f t="shared" si="5"/>
        <v>42</v>
      </c>
      <c r="L25" s="36">
        <v>42</v>
      </c>
    </row>
    <row r="26" spans="1:10" ht="24" customHeight="1">
      <c r="A26" s="55" t="s">
        <v>119</v>
      </c>
      <c r="B26" s="54">
        <f>SUM(B27:B32)</f>
        <v>48649</v>
      </c>
      <c r="C26" s="54">
        <f>C27+C28+C29+C30</f>
        <v>71641</v>
      </c>
      <c r="D26" s="54">
        <f>D27+D28+D29+D30+D32</f>
        <v>201295.9321</v>
      </c>
      <c r="E26" s="54">
        <f t="shared" si="2"/>
        <v>152646.9321</v>
      </c>
      <c r="F26" s="47">
        <f t="shared" si="3"/>
        <v>313.77198318567696</v>
      </c>
      <c r="G26" s="54">
        <f t="shared" si="0"/>
        <v>129654.9321</v>
      </c>
      <c r="H26" s="47">
        <f>G26/C26*100</f>
        <v>180.9786743624461</v>
      </c>
      <c r="I26" s="68"/>
      <c r="J26" s="36">
        <f t="shared" si="5"/>
        <v>0</v>
      </c>
    </row>
    <row r="27" spans="1:14" ht="25.5" customHeight="1">
      <c r="A27" s="57" t="s">
        <v>120</v>
      </c>
      <c r="B27" s="58">
        <v>23078</v>
      </c>
      <c r="C27" s="58">
        <v>66204</v>
      </c>
      <c r="D27" s="58">
        <f>K27+M27+N27+1108</f>
        <v>174886.70010000002</v>
      </c>
      <c r="E27" s="58">
        <f t="shared" si="2"/>
        <v>151808.70010000002</v>
      </c>
      <c r="F27" s="59">
        <f t="shared" si="3"/>
        <v>657.807002773204</v>
      </c>
      <c r="G27" s="58">
        <f t="shared" si="0"/>
        <v>108682.70010000002</v>
      </c>
      <c r="H27" s="59">
        <f>G27/C27*100</f>
        <v>164.16334375566433</v>
      </c>
      <c r="I27" s="49" t="s">
        <v>121</v>
      </c>
      <c r="J27" s="36">
        <f t="shared" si="5"/>
        <v>174886.70010000002</v>
      </c>
      <c r="K27" s="58">
        <f>174903.2-D40-D42</f>
        <v>171768.29510000002</v>
      </c>
      <c r="L27" s="70">
        <v>1108</v>
      </c>
      <c r="N27" s="36">
        <v>2010.405</v>
      </c>
    </row>
    <row r="28" spans="1:12" ht="24" customHeight="1">
      <c r="A28" s="57" t="s">
        <v>122</v>
      </c>
      <c r="B28" s="58">
        <v>1796</v>
      </c>
      <c r="C28" s="58">
        <v>3529</v>
      </c>
      <c r="D28" s="58">
        <f>K28+M28+N28</f>
        <v>8745.16</v>
      </c>
      <c r="E28" s="58">
        <f t="shared" si="2"/>
        <v>6949.16</v>
      </c>
      <c r="F28" s="59">
        <f t="shared" si="3"/>
        <v>386.924276169265</v>
      </c>
      <c r="G28" s="58">
        <f t="shared" si="0"/>
        <v>5216.16</v>
      </c>
      <c r="H28" s="59">
        <f>G28/C28*100</f>
        <v>147.80844431850383</v>
      </c>
      <c r="I28" s="68"/>
      <c r="J28" s="36">
        <f t="shared" si="5"/>
        <v>8745.16</v>
      </c>
      <c r="K28" s="58">
        <v>8745.16</v>
      </c>
      <c r="L28" s="70"/>
    </row>
    <row r="29" spans="1:14" ht="24" customHeight="1">
      <c r="A29" s="57" t="s">
        <v>123</v>
      </c>
      <c r="B29" s="58">
        <v>243</v>
      </c>
      <c r="C29" s="58">
        <v>923</v>
      </c>
      <c r="D29" s="58">
        <f>K29+M29+N29</f>
        <v>1678.712</v>
      </c>
      <c r="E29" s="58">
        <f t="shared" si="2"/>
        <v>1435.712</v>
      </c>
      <c r="F29" s="59">
        <f t="shared" si="3"/>
        <v>590.8279835390946</v>
      </c>
      <c r="G29" s="58">
        <f t="shared" si="0"/>
        <v>755.712</v>
      </c>
      <c r="H29" s="59">
        <f>G29/C29*100</f>
        <v>81.87562296858071</v>
      </c>
      <c r="I29" s="69" t="s">
        <v>114</v>
      </c>
      <c r="J29" s="36">
        <f t="shared" si="5"/>
        <v>1678.712</v>
      </c>
      <c r="K29" s="58">
        <v>1338.712</v>
      </c>
      <c r="L29" s="58"/>
      <c r="M29" s="58"/>
      <c r="N29" s="36">
        <v>340</v>
      </c>
    </row>
    <row r="30" spans="1:12" ht="24" customHeight="1">
      <c r="A30" s="57" t="s">
        <v>124</v>
      </c>
      <c r="B30" s="58">
        <v>832</v>
      </c>
      <c r="C30" s="58">
        <v>985</v>
      </c>
      <c r="D30" s="58">
        <f>K30+M30+N30</f>
        <v>985.36</v>
      </c>
      <c r="E30" s="58">
        <f t="shared" si="2"/>
        <v>153.36</v>
      </c>
      <c r="F30" s="59">
        <f t="shared" si="3"/>
        <v>18.432692307692307</v>
      </c>
      <c r="G30" s="58">
        <f t="shared" si="0"/>
        <v>0.36000000000001364</v>
      </c>
      <c r="H30" s="59">
        <f>G30/C30*100</f>
        <v>0.03654822335025519</v>
      </c>
      <c r="I30" s="69"/>
      <c r="J30" s="36">
        <f t="shared" si="5"/>
        <v>985.36</v>
      </c>
      <c r="K30" s="58">
        <v>985.36</v>
      </c>
      <c r="L30" s="70"/>
    </row>
    <row r="31" spans="1:12" ht="24" customHeight="1">
      <c r="A31" s="57" t="s">
        <v>125</v>
      </c>
      <c r="B31" s="58">
        <v>15200</v>
      </c>
      <c r="C31" s="58"/>
      <c r="D31" s="58"/>
      <c r="E31" s="58">
        <f t="shared" si="2"/>
        <v>-15200</v>
      </c>
      <c r="F31" s="59">
        <f t="shared" si="3"/>
        <v>-100</v>
      </c>
      <c r="G31" s="58">
        <f t="shared" si="0"/>
        <v>0</v>
      </c>
      <c r="H31" s="59"/>
      <c r="I31" s="69"/>
      <c r="K31" s="70"/>
      <c r="L31" s="70"/>
    </row>
    <row r="32" spans="1:15" ht="24" customHeight="1">
      <c r="A32" s="57" t="s">
        <v>126</v>
      </c>
      <c r="B32" s="58">
        <v>7500</v>
      </c>
      <c r="C32" s="58"/>
      <c r="D32" s="58">
        <v>15000</v>
      </c>
      <c r="E32" s="58">
        <f t="shared" si="2"/>
        <v>7500</v>
      </c>
      <c r="F32" s="59">
        <f t="shared" si="3"/>
        <v>100</v>
      </c>
      <c r="G32" s="58">
        <f t="shared" si="0"/>
        <v>15000</v>
      </c>
      <c r="H32" s="59"/>
      <c r="I32" s="68" t="s">
        <v>127</v>
      </c>
      <c r="J32" s="36">
        <f aca="true" t="shared" si="6" ref="J32:J47">SUM(K32:O32)</f>
        <v>15000</v>
      </c>
      <c r="K32" s="70"/>
      <c r="L32" s="70"/>
      <c r="O32" s="36">
        <v>15000</v>
      </c>
    </row>
    <row r="33" spans="1:10" ht="24" customHeight="1">
      <c r="A33" s="55" t="s">
        <v>128</v>
      </c>
      <c r="B33" s="54">
        <f>B34+B35</f>
        <v>23</v>
      </c>
      <c r="C33" s="54">
        <f>C34+C35</f>
        <v>0</v>
      </c>
      <c r="D33" s="54">
        <f>D34+D35</f>
        <v>270</v>
      </c>
      <c r="E33" s="54">
        <f t="shared" si="2"/>
        <v>247</v>
      </c>
      <c r="F33" s="56">
        <f t="shared" si="3"/>
        <v>1073.913043478261</v>
      </c>
      <c r="G33" s="54">
        <f t="shared" si="0"/>
        <v>270</v>
      </c>
      <c r="H33" s="56"/>
      <c r="I33" s="68"/>
      <c r="J33" s="36">
        <f t="shared" si="6"/>
        <v>0</v>
      </c>
    </row>
    <row r="34" spans="1:12" ht="24" customHeight="1">
      <c r="A34" s="57" t="s">
        <v>129</v>
      </c>
      <c r="B34" s="58">
        <v>23</v>
      </c>
      <c r="C34" s="54"/>
      <c r="D34" s="58">
        <v>120</v>
      </c>
      <c r="E34" s="58">
        <f t="shared" si="2"/>
        <v>97</v>
      </c>
      <c r="F34" s="59">
        <f t="shared" si="3"/>
        <v>421.7391304347826</v>
      </c>
      <c r="G34" s="58">
        <f t="shared" si="0"/>
        <v>120</v>
      </c>
      <c r="H34" s="59"/>
      <c r="I34" s="69" t="s">
        <v>114</v>
      </c>
      <c r="J34" s="36">
        <f t="shared" si="6"/>
        <v>120</v>
      </c>
      <c r="L34" s="36">
        <v>120</v>
      </c>
    </row>
    <row r="35" spans="1:12" ht="24" customHeight="1">
      <c r="A35" s="57" t="s">
        <v>130</v>
      </c>
      <c r="B35" s="58"/>
      <c r="C35" s="58">
        <v>0</v>
      </c>
      <c r="D35" s="58">
        <v>150</v>
      </c>
      <c r="E35" s="58">
        <f t="shared" si="2"/>
        <v>150</v>
      </c>
      <c r="F35" s="59" t="e">
        <f t="shared" si="3"/>
        <v>#DIV/0!</v>
      </c>
      <c r="G35" s="58">
        <f t="shared" si="0"/>
        <v>150</v>
      </c>
      <c r="H35" s="59"/>
      <c r="I35" s="69" t="s">
        <v>114</v>
      </c>
      <c r="J35" s="36">
        <f t="shared" si="6"/>
        <v>150</v>
      </c>
      <c r="L35" s="36">
        <v>150</v>
      </c>
    </row>
    <row r="36" spans="1:10" ht="24" customHeight="1">
      <c r="A36" s="55" t="s">
        <v>131</v>
      </c>
      <c r="B36" s="54">
        <f>B37+B39+B38</f>
        <v>492</v>
      </c>
      <c r="C36" s="54">
        <f>C37+C39</f>
        <v>23</v>
      </c>
      <c r="D36" s="54">
        <f>D37+D39+D38</f>
        <v>17347.05</v>
      </c>
      <c r="E36" s="54">
        <f t="shared" si="2"/>
        <v>16855.05</v>
      </c>
      <c r="F36" s="56">
        <f t="shared" si="3"/>
        <v>3425.8231707317073</v>
      </c>
      <c r="G36" s="54">
        <f t="shared" si="0"/>
        <v>17324.05</v>
      </c>
      <c r="H36" s="56">
        <f>G36/C36*100</f>
        <v>75321.95652173912</v>
      </c>
      <c r="I36" s="68"/>
      <c r="J36" s="36">
        <f t="shared" si="6"/>
        <v>0</v>
      </c>
    </row>
    <row r="37" spans="1:10" ht="24" customHeight="1">
      <c r="A37" s="57" t="s">
        <v>132</v>
      </c>
      <c r="B37" s="58"/>
      <c r="C37" s="58">
        <v>23</v>
      </c>
      <c r="D37" s="58"/>
      <c r="E37" s="58">
        <f t="shared" si="2"/>
        <v>0</v>
      </c>
      <c r="F37" s="59" t="e">
        <f t="shared" si="3"/>
        <v>#DIV/0!</v>
      </c>
      <c r="G37" s="58">
        <f t="shared" si="0"/>
        <v>-23</v>
      </c>
      <c r="H37" s="59">
        <f>G37/C37*100</f>
        <v>-100</v>
      </c>
      <c r="I37" s="68"/>
      <c r="J37" s="36">
        <f t="shared" si="6"/>
        <v>0</v>
      </c>
    </row>
    <row r="38" spans="1:15" ht="30" customHeight="1">
      <c r="A38" s="57" t="s">
        <v>133</v>
      </c>
      <c r="B38" s="58"/>
      <c r="C38" s="58"/>
      <c r="D38" s="58">
        <v>16300</v>
      </c>
      <c r="E38" s="58">
        <f t="shared" si="2"/>
        <v>16300</v>
      </c>
      <c r="F38" s="59" t="e">
        <f t="shared" si="3"/>
        <v>#DIV/0!</v>
      </c>
      <c r="G38" s="58">
        <f t="shared" si="0"/>
        <v>16300</v>
      </c>
      <c r="H38" s="59"/>
      <c r="I38" s="69" t="s">
        <v>127</v>
      </c>
      <c r="J38" s="36">
        <f t="shared" si="6"/>
        <v>16300</v>
      </c>
      <c r="O38" s="36">
        <v>16300</v>
      </c>
    </row>
    <row r="39" spans="1:13" ht="24" customHeight="1">
      <c r="A39" s="57" t="s">
        <v>134</v>
      </c>
      <c r="B39" s="58">
        <v>492</v>
      </c>
      <c r="C39" s="60"/>
      <c r="D39" s="58">
        <f>K39+M39+N39+513</f>
        <v>1047.05</v>
      </c>
      <c r="E39" s="58">
        <f t="shared" si="2"/>
        <v>555.05</v>
      </c>
      <c r="F39" s="59">
        <f t="shared" si="3"/>
        <v>112.81504065040649</v>
      </c>
      <c r="G39" s="58">
        <f t="shared" si="0"/>
        <v>1047.05</v>
      </c>
      <c r="H39" s="59"/>
      <c r="I39" s="69" t="s">
        <v>114</v>
      </c>
      <c r="J39" s="36">
        <f t="shared" si="6"/>
        <v>1047.05</v>
      </c>
      <c r="L39" s="36">
        <v>513</v>
      </c>
      <c r="M39" s="36">
        <v>534.05</v>
      </c>
    </row>
    <row r="40" spans="1:10" s="35" customFormat="1" ht="24" customHeight="1">
      <c r="A40" s="55" t="s">
        <v>135</v>
      </c>
      <c r="B40" s="61">
        <f>B41</f>
        <v>2159</v>
      </c>
      <c r="C40" s="62">
        <f>C41</f>
        <v>0</v>
      </c>
      <c r="D40" s="61">
        <f>D41</f>
        <v>3090.4869</v>
      </c>
      <c r="E40" s="54">
        <f t="shared" si="2"/>
        <v>931.4868999999999</v>
      </c>
      <c r="F40" s="56">
        <f t="shared" si="3"/>
        <v>43.14436776285317</v>
      </c>
      <c r="G40" s="54">
        <f t="shared" si="0"/>
        <v>3090.4869</v>
      </c>
      <c r="H40" s="56"/>
      <c r="I40" s="71"/>
      <c r="J40" s="36">
        <f t="shared" si="6"/>
        <v>0</v>
      </c>
    </row>
    <row r="41" spans="1:11" ht="24" customHeight="1">
      <c r="A41" s="57" t="s">
        <v>136</v>
      </c>
      <c r="B41" s="58">
        <v>2159</v>
      </c>
      <c r="C41" s="60"/>
      <c r="D41" s="58">
        <v>3090.4869</v>
      </c>
      <c r="E41" s="58">
        <f t="shared" si="2"/>
        <v>931.4868999999999</v>
      </c>
      <c r="F41" s="59">
        <f t="shared" si="3"/>
        <v>43.14436776285317</v>
      </c>
      <c r="G41" s="58">
        <f t="shared" si="0"/>
        <v>3090.4869</v>
      </c>
      <c r="H41" s="59"/>
      <c r="I41" s="68"/>
      <c r="J41" s="36">
        <f t="shared" si="6"/>
        <v>3090</v>
      </c>
      <c r="K41" s="36">
        <v>3090</v>
      </c>
    </row>
    <row r="42" spans="1:10" s="35" customFormat="1" ht="24" customHeight="1">
      <c r="A42" s="55" t="s">
        <v>137</v>
      </c>
      <c r="B42" s="61">
        <f>B43</f>
        <v>34</v>
      </c>
      <c r="C42" s="62">
        <f>C43</f>
        <v>0</v>
      </c>
      <c r="D42" s="61">
        <f>D43</f>
        <v>44.418</v>
      </c>
      <c r="E42" s="61">
        <f t="shared" si="2"/>
        <v>10.418</v>
      </c>
      <c r="F42" s="56">
        <f t="shared" si="3"/>
        <v>30.64117647058823</v>
      </c>
      <c r="G42" s="61">
        <f t="shared" si="0"/>
        <v>44.418</v>
      </c>
      <c r="H42" s="56"/>
      <c r="I42" s="71"/>
      <c r="J42" s="36">
        <f t="shared" si="6"/>
        <v>0</v>
      </c>
    </row>
    <row r="43" spans="1:11" ht="24" customHeight="1">
      <c r="A43" s="57" t="s">
        <v>138</v>
      </c>
      <c r="B43" s="58">
        <v>34</v>
      </c>
      <c r="C43" s="60"/>
      <c r="D43" s="58">
        <v>44.418</v>
      </c>
      <c r="E43" s="58">
        <f t="shared" si="2"/>
        <v>10.418</v>
      </c>
      <c r="F43" s="59">
        <f t="shared" si="3"/>
        <v>30.64117647058823</v>
      </c>
      <c r="G43" s="58">
        <f t="shared" si="0"/>
        <v>44.418</v>
      </c>
      <c r="H43" s="59"/>
      <c r="I43" s="68"/>
      <c r="J43" s="36">
        <f t="shared" si="6"/>
        <v>44</v>
      </c>
      <c r="K43" s="36">
        <v>44</v>
      </c>
    </row>
    <row r="44" spans="1:13" ht="24" customHeight="1">
      <c r="A44" s="55" t="s">
        <v>139</v>
      </c>
      <c r="B44" s="61">
        <f>B46+B45</f>
        <v>0</v>
      </c>
      <c r="C44" s="62">
        <f>C46</f>
        <v>0</v>
      </c>
      <c r="D44" s="61">
        <f>D46+D45</f>
        <v>8935</v>
      </c>
      <c r="E44" s="61">
        <f t="shared" si="2"/>
        <v>8935</v>
      </c>
      <c r="F44" s="56"/>
      <c r="G44" s="61">
        <f t="shared" si="0"/>
        <v>8935</v>
      </c>
      <c r="H44" s="56"/>
      <c r="I44" s="68"/>
      <c r="J44" s="36">
        <f t="shared" si="6"/>
        <v>8935</v>
      </c>
      <c r="M44" s="36">
        <v>8935</v>
      </c>
    </row>
    <row r="45" spans="1:10" ht="24" customHeight="1">
      <c r="A45" s="57" t="s">
        <v>140</v>
      </c>
      <c r="B45" s="58"/>
      <c r="C45" s="62"/>
      <c r="D45" s="58">
        <v>8145</v>
      </c>
      <c r="E45" s="58">
        <f t="shared" si="2"/>
        <v>8145</v>
      </c>
      <c r="F45" s="56"/>
      <c r="G45" s="58">
        <f t="shared" si="0"/>
        <v>8145</v>
      </c>
      <c r="H45" s="56"/>
      <c r="I45" s="69" t="s">
        <v>141</v>
      </c>
      <c r="J45" s="36">
        <f t="shared" si="6"/>
        <v>0</v>
      </c>
    </row>
    <row r="46" spans="1:10" ht="24" customHeight="1">
      <c r="A46" s="57" t="s">
        <v>142</v>
      </c>
      <c r="B46" s="58"/>
      <c r="C46" s="60"/>
      <c r="D46" s="58">
        <v>790</v>
      </c>
      <c r="E46" s="58">
        <f t="shared" si="2"/>
        <v>790</v>
      </c>
      <c r="F46" s="59" t="e">
        <f>E46/B46*100</f>
        <v>#DIV/0!</v>
      </c>
      <c r="G46" s="58">
        <f t="shared" si="0"/>
        <v>790</v>
      </c>
      <c r="H46" s="59"/>
      <c r="I46" s="69" t="s">
        <v>141</v>
      </c>
      <c r="J46" s="36">
        <f t="shared" si="6"/>
        <v>0</v>
      </c>
    </row>
    <row r="47" spans="1:10" ht="24" customHeight="1">
      <c r="A47" s="63" t="s">
        <v>143</v>
      </c>
      <c r="B47" s="62">
        <v>26225</v>
      </c>
      <c r="C47" s="62"/>
      <c r="D47" s="62"/>
      <c r="E47" s="62">
        <f t="shared" si="2"/>
        <v>-26225</v>
      </c>
      <c r="F47" s="56">
        <f>E47/B47*100</f>
        <v>-100</v>
      </c>
      <c r="G47" s="62">
        <f t="shared" si="0"/>
        <v>0</v>
      </c>
      <c r="H47" s="56"/>
      <c r="I47" s="68"/>
      <c r="J47" s="36">
        <f t="shared" si="6"/>
        <v>0</v>
      </c>
    </row>
    <row r="48" spans="1:9" ht="24" customHeight="1">
      <c r="A48" s="64" t="s">
        <v>144</v>
      </c>
      <c r="B48" s="65">
        <f>B7-B18</f>
        <v>4276</v>
      </c>
      <c r="C48" s="65">
        <f>C7-C18</f>
        <v>5279</v>
      </c>
      <c r="D48" s="65">
        <f>D7-D18</f>
        <v>3270.640000000014</v>
      </c>
      <c r="E48" s="65">
        <f t="shared" si="2"/>
        <v>-1005.359999999986</v>
      </c>
      <c r="F48" s="56">
        <f>E48/B48*100</f>
        <v>-23.5116931711877</v>
      </c>
      <c r="G48" s="65">
        <f t="shared" si="0"/>
        <v>-2008.359999999986</v>
      </c>
      <c r="H48" s="56">
        <f>G48/C48*100</f>
        <v>-38.044326577002956</v>
      </c>
      <c r="I48" s="68"/>
    </row>
  </sheetData>
  <sheetProtection/>
  <mergeCells count="8">
    <mergeCell ref="E5:F5"/>
    <mergeCell ref="G5:H5"/>
    <mergeCell ref="A5:A6"/>
    <mergeCell ref="B5:B6"/>
    <mergeCell ref="C5:C6"/>
    <mergeCell ref="D5:D6"/>
    <mergeCell ref="I5:I6"/>
    <mergeCell ref="A2:I3"/>
  </mergeCells>
  <printOptions horizontalCentered="1"/>
  <pageMargins left="0.156944444444444" right="0.0784722222222222" top="0.43000000000000005" bottom="0.35" header="0.31496062992126" footer="0.19652777777777802"/>
  <pageSetup firstPageNumber="14" useFirstPageNumber="1" horizontalDpi="600" verticalDpi="600" orientation="landscape" paperSize="9" scale="75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SheetLayoutView="100" workbookViewId="0" topLeftCell="A1">
      <selection activeCell="L13" sqref="L13"/>
    </sheetView>
  </sheetViews>
  <sheetFormatPr defaultColWidth="9.00390625" defaultRowHeight="14.25"/>
  <cols>
    <col min="1" max="1" width="18.625" style="2" customWidth="1"/>
    <col min="2" max="3" width="11.625" style="2" customWidth="1"/>
    <col min="4" max="4" width="11.625" style="3" customWidth="1"/>
    <col min="5" max="7" width="11.625" style="2" customWidth="1"/>
    <col min="8" max="8" width="9.75390625" style="2" hidden="1" customWidth="1"/>
    <col min="9" max="9" width="4.75390625" style="2" customWidth="1"/>
    <col min="10" max="10" width="18.625" style="2" customWidth="1"/>
    <col min="11" max="12" width="11.625" style="2" customWidth="1"/>
    <col min="13" max="13" width="11.625" style="3" customWidth="1"/>
    <col min="14" max="15" width="11.625" style="2" customWidth="1"/>
    <col min="16" max="16" width="9.00390625" style="2" hidden="1" customWidth="1"/>
    <col min="17" max="16384" width="9.00390625" style="2" customWidth="1"/>
  </cols>
  <sheetData>
    <row r="1" ht="14.25">
      <c r="A1" s="2" t="s">
        <v>145</v>
      </c>
    </row>
    <row r="2" spans="1:16" ht="28.5" customHeight="1">
      <c r="A2" s="4" t="s">
        <v>146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</row>
    <row r="3" spans="12:14" ht="14.25">
      <c r="L3" s="26"/>
      <c r="M3" s="27" t="s">
        <v>2</v>
      </c>
      <c r="N3" s="27"/>
    </row>
    <row r="4" spans="1:16" ht="46.5" customHeight="1">
      <c r="A4" s="6" t="s">
        <v>147</v>
      </c>
      <c r="B4" s="6" t="s">
        <v>148</v>
      </c>
      <c r="C4" s="6" t="s">
        <v>149</v>
      </c>
      <c r="D4" s="7" t="s">
        <v>150</v>
      </c>
      <c r="E4" s="6" t="s">
        <v>151</v>
      </c>
      <c r="F4" s="6" t="s">
        <v>152</v>
      </c>
      <c r="G4" s="6" t="s">
        <v>11</v>
      </c>
      <c r="H4" s="6" t="s">
        <v>93</v>
      </c>
      <c r="J4" s="6" t="s">
        <v>153</v>
      </c>
      <c r="K4" s="6" t="s">
        <v>154</v>
      </c>
      <c r="L4" s="6" t="s">
        <v>155</v>
      </c>
      <c r="M4" s="7" t="s">
        <v>156</v>
      </c>
      <c r="N4" s="6" t="s">
        <v>152</v>
      </c>
      <c r="O4" s="6" t="s">
        <v>11</v>
      </c>
      <c r="P4" s="6" t="s">
        <v>93</v>
      </c>
    </row>
    <row r="5" spans="1:16" ht="30" customHeight="1">
      <c r="A5" s="8" t="s">
        <v>157</v>
      </c>
      <c r="B5" s="9">
        <f>SUM(B6:B22)</f>
        <v>65.55</v>
      </c>
      <c r="C5" s="9">
        <f>SUM(C6:C22)</f>
        <v>420.66</v>
      </c>
      <c r="D5" s="9">
        <f>SUM(D6:D22)</f>
        <v>16026</v>
      </c>
      <c r="E5" s="9">
        <f>SUM(E6:E22)</f>
        <v>15697.49</v>
      </c>
      <c r="F5" s="9">
        <f aca="true" t="shared" si="0" ref="F5:F13">E5-D5</f>
        <v>-328.5100000000002</v>
      </c>
      <c r="G5" s="9">
        <f>F5/D5*100</f>
        <v>-2.0498564832147776</v>
      </c>
      <c r="H5" s="10"/>
      <c r="J5" s="19" t="s">
        <v>158</v>
      </c>
      <c r="K5" s="9">
        <f>SUM(K6:K22)</f>
        <v>0</v>
      </c>
      <c r="L5" s="9">
        <f>SUM(L6:L22)</f>
        <v>39</v>
      </c>
      <c r="M5" s="9">
        <f>SUM(M6:M22)</f>
        <v>0</v>
      </c>
      <c r="N5" s="9">
        <f aca="true" t="shared" si="1" ref="N5:N12">M5-L5</f>
        <v>-39</v>
      </c>
      <c r="O5" s="9">
        <f aca="true" t="shared" si="2" ref="O5:O10">N5/L5*100</f>
        <v>-100</v>
      </c>
      <c r="P5" s="10"/>
    </row>
    <row r="6" spans="1:16" ht="30" customHeight="1">
      <c r="A6" s="11" t="s">
        <v>159</v>
      </c>
      <c r="B6" s="12">
        <v>14.47</v>
      </c>
      <c r="C6" s="12">
        <v>117.41</v>
      </c>
      <c r="D6" s="12">
        <v>16009.3</v>
      </c>
      <c r="E6" s="12">
        <f>11.74+15633</f>
        <v>15644.74</v>
      </c>
      <c r="F6" s="12">
        <f t="shared" si="0"/>
        <v>-364.5599999999995</v>
      </c>
      <c r="G6" s="12">
        <f>F6/D6</f>
        <v>-0.022771763912225986</v>
      </c>
      <c r="H6" s="10"/>
      <c r="J6" s="11" t="s">
        <v>159</v>
      </c>
      <c r="K6" s="28"/>
      <c r="L6" s="28">
        <v>22.3</v>
      </c>
      <c r="M6" s="28"/>
      <c r="N6" s="28">
        <f t="shared" si="1"/>
        <v>-22.3</v>
      </c>
      <c r="O6" s="28">
        <f t="shared" si="2"/>
        <v>-100</v>
      </c>
      <c r="P6" s="10"/>
    </row>
    <row r="7" spans="1:16" s="1" customFormat="1" ht="30" customHeight="1">
      <c r="A7" s="11" t="s">
        <v>160</v>
      </c>
      <c r="B7" s="12">
        <v>14.68</v>
      </c>
      <c r="C7" s="12">
        <v>2.95</v>
      </c>
      <c r="D7" s="12"/>
      <c r="E7" s="12">
        <v>0.29</v>
      </c>
      <c r="F7" s="12">
        <f t="shared" si="0"/>
        <v>0.29</v>
      </c>
      <c r="G7" s="12" t="e">
        <f>F7/D7</f>
        <v>#DIV/0!</v>
      </c>
      <c r="H7" s="10"/>
      <c r="J7" s="11" t="s">
        <v>160</v>
      </c>
      <c r="K7" s="28"/>
      <c r="L7" s="28"/>
      <c r="M7" s="28"/>
      <c r="N7" s="28">
        <f t="shared" si="1"/>
        <v>0</v>
      </c>
      <c r="O7" s="28"/>
      <c r="P7" s="10"/>
    </row>
    <row r="8" spans="1:16" s="1" customFormat="1" ht="30" customHeight="1">
      <c r="A8" s="11" t="s">
        <v>161</v>
      </c>
      <c r="B8" s="12"/>
      <c r="C8" s="12">
        <v>-45.43</v>
      </c>
      <c r="D8" s="12"/>
      <c r="E8" s="12"/>
      <c r="F8" s="12">
        <f t="shared" si="0"/>
        <v>0</v>
      </c>
      <c r="G8" s="12" t="e">
        <f>F8/D8</f>
        <v>#DIV/0!</v>
      </c>
      <c r="H8" s="10"/>
      <c r="J8" s="11" t="s">
        <v>161</v>
      </c>
      <c r="K8" s="28"/>
      <c r="L8" s="28"/>
      <c r="M8" s="28"/>
      <c r="N8" s="28">
        <f t="shared" si="1"/>
        <v>0</v>
      </c>
      <c r="O8" s="28"/>
      <c r="P8" s="10"/>
    </row>
    <row r="9" spans="1:16" s="1" customFormat="1" ht="30" customHeight="1">
      <c r="A9" s="11" t="s">
        <v>162</v>
      </c>
      <c r="B9" s="12">
        <v>4.14</v>
      </c>
      <c r="C9" s="12">
        <v>34.39</v>
      </c>
      <c r="D9" s="12"/>
      <c r="E9" s="12">
        <v>3.44</v>
      </c>
      <c r="F9" s="12">
        <f t="shared" si="0"/>
        <v>3.44</v>
      </c>
      <c r="G9" s="12" t="e">
        <f>F9/D9</f>
        <v>#DIV/0!</v>
      </c>
      <c r="H9" s="10"/>
      <c r="J9" s="11" t="s">
        <v>162</v>
      </c>
      <c r="K9" s="28"/>
      <c r="L9" s="28"/>
      <c r="M9" s="28"/>
      <c r="N9" s="28">
        <f t="shared" si="1"/>
        <v>0</v>
      </c>
      <c r="O9" s="28"/>
      <c r="P9" s="10"/>
    </row>
    <row r="10" spans="1:16" s="1" customFormat="1" ht="30" customHeight="1">
      <c r="A10" s="13" t="s">
        <v>163</v>
      </c>
      <c r="B10" s="12"/>
      <c r="C10" s="12">
        <v>57.29</v>
      </c>
      <c r="D10" s="12">
        <v>2</v>
      </c>
      <c r="E10" s="12">
        <v>5.73</v>
      </c>
      <c r="F10" s="12">
        <f t="shared" si="0"/>
        <v>3.7300000000000004</v>
      </c>
      <c r="G10" s="12">
        <f>F10/D10</f>
        <v>1.8650000000000002</v>
      </c>
      <c r="H10" s="10"/>
      <c r="J10" s="13" t="s">
        <v>163</v>
      </c>
      <c r="K10" s="28"/>
      <c r="L10" s="28">
        <v>2</v>
      </c>
      <c r="M10" s="28"/>
      <c r="N10" s="28">
        <f t="shared" si="1"/>
        <v>-2</v>
      </c>
      <c r="O10" s="28">
        <f t="shared" si="2"/>
        <v>-100</v>
      </c>
      <c r="P10" s="10"/>
    </row>
    <row r="11" spans="1:16" s="1" customFormat="1" ht="30" customHeight="1">
      <c r="A11" s="14" t="s">
        <v>164</v>
      </c>
      <c r="B11" s="12"/>
      <c r="C11" s="12">
        <v>-19.27</v>
      </c>
      <c r="D11" s="12"/>
      <c r="E11" s="12"/>
      <c r="F11" s="12">
        <f t="shared" si="0"/>
        <v>0</v>
      </c>
      <c r="G11" s="12"/>
      <c r="H11" s="10"/>
      <c r="J11" s="14" t="s">
        <v>164</v>
      </c>
      <c r="K11" s="28"/>
      <c r="L11" s="28"/>
      <c r="M11" s="28"/>
      <c r="N11" s="28">
        <f t="shared" si="1"/>
        <v>0</v>
      </c>
      <c r="O11" s="28"/>
      <c r="P11" s="10"/>
    </row>
    <row r="12" spans="1:16" s="1" customFormat="1" ht="30" customHeight="1">
      <c r="A12" s="11" t="s">
        <v>165</v>
      </c>
      <c r="B12" s="12"/>
      <c r="C12" s="12">
        <v>275.65</v>
      </c>
      <c r="D12" s="12">
        <v>2.5</v>
      </c>
      <c r="E12" s="12">
        <v>27.57</v>
      </c>
      <c r="F12" s="12">
        <f t="shared" si="0"/>
        <v>25.07</v>
      </c>
      <c r="G12" s="12">
        <f>F12/D12</f>
        <v>10.028</v>
      </c>
      <c r="H12" s="10"/>
      <c r="J12" s="11" t="s">
        <v>165</v>
      </c>
      <c r="K12" s="28"/>
      <c r="L12" s="28">
        <v>2.5</v>
      </c>
      <c r="M12" s="28"/>
      <c r="N12" s="28">
        <f t="shared" si="1"/>
        <v>-2.5</v>
      </c>
      <c r="O12" s="28">
        <f>N12/L12*100</f>
        <v>-100</v>
      </c>
      <c r="P12" s="10"/>
    </row>
    <row r="13" spans="1:16" s="1" customFormat="1" ht="30" customHeight="1">
      <c r="A13" s="11" t="s">
        <v>166</v>
      </c>
      <c r="B13" s="12"/>
      <c r="C13" s="12">
        <v>69.75</v>
      </c>
      <c r="D13" s="15"/>
      <c r="E13" s="12">
        <v>6.96</v>
      </c>
      <c r="F13" s="12">
        <f t="shared" si="0"/>
        <v>6.96</v>
      </c>
      <c r="G13" s="12"/>
      <c r="H13" s="10"/>
      <c r="J13" s="11" t="s">
        <v>166</v>
      </c>
      <c r="K13" s="28"/>
      <c r="L13" s="28"/>
      <c r="M13" s="28"/>
      <c r="N13" s="28"/>
      <c r="O13" s="28"/>
      <c r="P13" s="10"/>
    </row>
    <row r="14" spans="1:16" s="1" customFormat="1" ht="30" customHeight="1">
      <c r="A14" s="16" t="s">
        <v>167</v>
      </c>
      <c r="B14" s="12"/>
      <c r="C14" s="12">
        <v>-30.1</v>
      </c>
      <c r="D14" s="15"/>
      <c r="E14" s="12"/>
      <c r="F14" s="12"/>
      <c r="G14" s="12"/>
      <c r="H14" s="10"/>
      <c r="J14" s="16" t="s">
        <v>167</v>
      </c>
      <c r="K14" s="29"/>
      <c r="L14" s="28"/>
      <c r="M14" s="29"/>
      <c r="N14" s="29"/>
      <c r="O14" s="29"/>
      <c r="P14" s="10"/>
    </row>
    <row r="15" spans="1:16" s="1" customFormat="1" ht="30" customHeight="1">
      <c r="A15" s="16" t="s">
        <v>168</v>
      </c>
      <c r="B15" s="12">
        <v>29.92</v>
      </c>
      <c r="C15" s="12">
        <v>87.59</v>
      </c>
      <c r="D15" s="15">
        <v>12.2</v>
      </c>
      <c r="E15" s="12">
        <v>8.76</v>
      </c>
      <c r="F15" s="12">
        <f>E15-D15</f>
        <v>-3.4399999999999995</v>
      </c>
      <c r="G15" s="12">
        <f>F15/D15</f>
        <v>-0.2819672131147541</v>
      </c>
      <c r="H15" s="10"/>
      <c r="J15" s="16" t="s">
        <v>168</v>
      </c>
      <c r="K15" s="29"/>
      <c r="L15" s="28">
        <v>12.2</v>
      </c>
      <c r="M15" s="29"/>
      <c r="N15" s="28">
        <f>M15-L15</f>
        <v>-12.2</v>
      </c>
      <c r="O15" s="28">
        <f>N15/L15*100</f>
        <v>-100</v>
      </c>
      <c r="P15" s="10"/>
    </row>
    <row r="16" spans="1:16" s="1" customFormat="1" ht="30" customHeight="1">
      <c r="A16" s="16" t="s">
        <v>169</v>
      </c>
      <c r="B16" s="12"/>
      <c r="C16" s="12">
        <v>-24.15</v>
      </c>
      <c r="D16" s="15"/>
      <c r="E16" s="12"/>
      <c r="F16" s="12"/>
      <c r="G16" s="12"/>
      <c r="H16" s="10"/>
      <c r="J16" s="16" t="s">
        <v>169</v>
      </c>
      <c r="K16" s="29"/>
      <c r="L16" s="28"/>
      <c r="M16" s="29"/>
      <c r="N16" s="29"/>
      <c r="O16" s="29"/>
      <c r="P16" s="10"/>
    </row>
    <row r="17" spans="1:16" s="1" customFormat="1" ht="30" customHeight="1">
      <c r="A17" s="16" t="s">
        <v>170</v>
      </c>
      <c r="B17" s="12">
        <v>2.34</v>
      </c>
      <c r="C17" s="12">
        <v>-53.55</v>
      </c>
      <c r="D17" s="15"/>
      <c r="E17" s="12"/>
      <c r="F17" s="12">
        <f>E17-D17</f>
        <v>0</v>
      </c>
      <c r="G17" s="12"/>
      <c r="H17" s="10"/>
      <c r="J17" s="16" t="s">
        <v>170</v>
      </c>
      <c r="K17" s="29"/>
      <c r="L17" s="28"/>
      <c r="M17" s="29"/>
      <c r="N17" s="29"/>
      <c r="O17" s="29"/>
      <c r="P17" s="10"/>
    </row>
    <row r="18" spans="1:16" s="1" customFormat="1" ht="30" customHeight="1">
      <c r="A18" s="16" t="s">
        <v>171</v>
      </c>
      <c r="B18" s="12"/>
      <c r="C18" s="12">
        <v>-7.37</v>
      </c>
      <c r="D18" s="15"/>
      <c r="E18" s="12"/>
      <c r="F18" s="12"/>
      <c r="G18" s="12"/>
      <c r="H18" s="10"/>
      <c r="J18" s="16" t="s">
        <v>171</v>
      </c>
      <c r="K18" s="29"/>
      <c r="L18" s="28"/>
      <c r="M18" s="29"/>
      <c r="N18" s="29"/>
      <c r="O18" s="29"/>
      <c r="P18" s="10"/>
    </row>
    <row r="19" spans="1:16" s="1" customFormat="1" ht="30" customHeight="1">
      <c r="A19" s="17" t="s">
        <v>172</v>
      </c>
      <c r="B19" s="12"/>
      <c r="C19" s="12">
        <v>-28.57</v>
      </c>
      <c r="D19" s="15"/>
      <c r="E19" s="12"/>
      <c r="F19" s="12"/>
      <c r="G19" s="12"/>
      <c r="H19" s="10"/>
      <c r="J19" s="17" t="s">
        <v>172</v>
      </c>
      <c r="K19" s="29"/>
      <c r="L19" s="28"/>
      <c r="M19" s="29"/>
      <c r="N19" s="29"/>
      <c r="O19" s="29"/>
      <c r="P19" s="10"/>
    </row>
    <row r="20" spans="1:16" s="1" customFormat="1" ht="30" customHeight="1">
      <c r="A20" s="14" t="s">
        <v>173</v>
      </c>
      <c r="B20" s="12"/>
      <c r="C20" s="12">
        <v>-18.98</v>
      </c>
      <c r="D20" s="15"/>
      <c r="E20" s="12"/>
      <c r="F20" s="12"/>
      <c r="G20" s="12"/>
      <c r="H20" s="10"/>
      <c r="J20" s="14" t="s">
        <v>173</v>
      </c>
      <c r="K20" s="29"/>
      <c r="L20" s="28"/>
      <c r="M20" s="29"/>
      <c r="N20" s="29"/>
      <c r="O20" s="29"/>
      <c r="P20" s="10"/>
    </row>
    <row r="21" spans="1:16" s="1" customFormat="1" ht="30" customHeight="1">
      <c r="A21" s="14" t="s">
        <v>174</v>
      </c>
      <c r="B21" s="12"/>
      <c r="C21" s="12">
        <v>2.99</v>
      </c>
      <c r="D21" s="15"/>
      <c r="E21" s="12"/>
      <c r="F21" s="12"/>
      <c r="G21" s="12"/>
      <c r="H21" s="10"/>
      <c r="J21" s="14" t="s">
        <v>174</v>
      </c>
      <c r="K21" s="29"/>
      <c r="L21" s="28"/>
      <c r="M21" s="29"/>
      <c r="N21" s="29"/>
      <c r="O21" s="29"/>
      <c r="P21" s="10"/>
    </row>
    <row r="22" spans="1:16" s="1" customFormat="1" ht="30" customHeight="1">
      <c r="A22" s="14" t="s">
        <v>175</v>
      </c>
      <c r="B22" s="12"/>
      <c r="C22" s="12">
        <v>0.06</v>
      </c>
      <c r="D22" s="15"/>
      <c r="E22" s="12"/>
      <c r="F22" s="12"/>
      <c r="G22" s="12"/>
      <c r="H22" s="10"/>
      <c r="J22" s="14" t="s">
        <v>175</v>
      </c>
      <c r="K22" s="29"/>
      <c r="L22" s="28"/>
      <c r="M22" s="29"/>
      <c r="N22" s="29"/>
      <c r="O22" s="29"/>
      <c r="P22" s="10"/>
    </row>
    <row r="23" spans="1:16" s="1" customFormat="1" ht="28.5" customHeight="1">
      <c r="A23" s="8" t="s">
        <v>176</v>
      </c>
      <c r="B23" s="9">
        <f>B24</f>
        <v>39</v>
      </c>
      <c r="C23" s="9">
        <f>C24</f>
        <v>0</v>
      </c>
      <c r="D23" s="9">
        <f>D24</f>
        <v>4.3</v>
      </c>
      <c r="E23" s="9">
        <f>E24</f>
        <v>4.3</v>
      </c>
      <c r="F23" s="9">
        <f>F24</f>
        <v>0</v>
      </c>
      <c r="G23" s="9"/>
      <c r="H23" s="10"/>
      <c r="J23" s="8" t="s">
        <v>176</v>
      </c>
      <c r="K23" s="9">
        <f>K24</f>
        <v>34.7</v>
      </c>
      <c r="L23" s="9">
        <f>L24</f>
        <v>4.3</v>
      </c>
      <c r="M23" s="9">
        <f>M24</f>
        <v>4.3</v>
      </c>
      <c r="N23" s="9">
        <f>N24</f>
        <v>0</v>
      </c>
      <c r="O23" s="28">
        <f>N23/L23*100</f>
        <v>0</v>
      </c>
      <c r="P23" s="10"/>
    </row>
    <row r="24" spans="1:16" s="1" customFormat="1" ht="90.75" customHeight="1">
      <c r="A24" s="18" t="s">
        <v>177</v>
      </c>
      <c r="B24" s="12">
        <v>39</v>
      </c>
      <c r="C24" s="12"/>
      <c r="D24" s="15">
        <v>4.3</v>
      </c>
      <c r="E24" s="15">
        <v>4.3</v>
      </c>
      <c r="F24" s="12">
        <f>E24-D24</f>
        <v>0</v>
      </c>
      <c r="G24" s="12"/>
      <c r="H24" s="10"/>
      <c r="J24" s="30" t="s">
        <v>177</v>
      </c>
      <c r="K24" s="29">
        <v>34.7</v>
      </c>
      <c r="L24" s="29">
        <v>4.3</v>
      </c>
      <c r="M24" s="28">
        <v>4.3</v>
      </c>
      <c r="N24" s="28">
        <f>M24-L24</f>
        <v>0</v>
      </c>
      <c r="O24" s="28">
        <f>N24/L24*100</f>
        <v>0</v>
      </c>
      <c r="P24" s="10"/>
    </row>
    <row r="25" spans="1:16" s="1" customFormat="1" ht="27" customHeight="1">
      <c r="A25" s="19"/>
      <c r="B25" s="20"/>
      <c r="C25" s="20"/>
      <c r="D25" s="21"/>
      <c r="E25" s="20"/>
      <c r="F25" s="20"/>
      <c r="G25" s="20"/>
      <c r="H25" s="10"/>
      <c r="J25" s="8" t="s">
        <v>178</v>
      </c>
      <c r="K25" s="29">
        <v>65.55</v>
      </c>
      <c r="L25" s="29">
        <v>15987</v>
      </c>
      <c r="M25" s="29">
        <f>64.49+15633</f>
        <v>15697.49</v>
      </c>
      <c r="N25" s="29">
        <f>M25-L25</f>
        <v>-289.5100000000002</v>
      </c>
      <c r="O25" s="9">
        <f>N25/L25*100</f>
        <v>-1.8109088634515558</v>
      </c>
      <c r="P25" s="10"/>
    </row>
    <row r="26" spans="1:16" s="1" customFormat="1" ht="36" customHeight="1">
      <c r="A26" s="22"/>
      <c r="B26" s="20"/>
      <c r="C26" s="20"/>
      <c r="D26" s="21"/>
      <c r="E26" s="20"/>
      <c r="F26" s="20"/>
      <c r="G26" s="20"/>
      <c r="H26" s="10"/>
      <c r="J26" s="22"/>
      <c r="K26" s="29"/>
      <c r="L26" s="29"/>
      <c r="M26" s="29"/>
      <c r="N26" s="29"/>
      <c r="O26" s="29"/>
      <c r="P26" s="10"/>
    </row>
    <row r="27" spans="1:16" s="1" customFormat="1" ht="24.75" customHeight="1">
      <c r="A27" s="23"/>
      <c r="B27" s="20"/>
      <c r="C27" s="20"/>
      <c r="D27" s="21"/>
      <c r="E27" s="20"/>
      <c r="F27" s="20"/>
      <c r="G27" s="20"/>
      <c r="H27" s="10"/>
      <c r="J27" s="31"/>
      <c r="K27" s="29"/>
      <c r="L27" s="29"/>
      <c r="M27" s="29"/>
      <c r="N27" s="29"/>
      <c r="O27" s="29"/>
      <c r="P27" s="10"/>
    </row>
    <row r="28" spans="1:16" s="1" customFormat="1" ht="23.25" customHeight="1">
      <c r="A28" s="24" t="s">
        <v>33</v>
      </c>
      <c r="B28" s="20">
        <f>B5+B23</f>
        <v>104.55</v>
      </c>
      <c r="C28" s="20">
        <f>C5+C23</f>
        <v>420.66</v>
      </c>
      <c r="D28" s="20">
        <f>D5+D23</f>
        <v>16030.3</v>
      </c>
      <c r="E28" s="20">
        <f>E5+E23</f>
        <v>15701.789999999999</v>
      </c>
      <c r="F28" s="20">
        <f>SUM(F6:F27)</f>
        <v>-328.5099999999995</v>
      </c>
      <c r="G28" s="20">
        <f>F28/D28*100</f>
        <v>-2.0493066255778087</v>
      </c>
      <c r="H28" s="25"/>
      <c r="J28" s="24" t="s">
        <v>33</v>
      </c>
      <c r="K28" s="29">
        <f>K5+K23+K25</f>
        <v>100.25</v>
      </c>
      <c r="L28" s="29">
        <f>L5+L23+L25</f>
        <v>16030.3</v>
      </c>
      <c r="M28" s="29">
        <f>M5+M23+M25</f>
        <v>15701.789999999999</v>
      </c>
      <c r="N28" s="29">
        <f>SUM(N6:N27)</f>
        <v>-328.5100000000002</v>
      </c>
      <c r="O28" s="9">
        <f>N28/L28*100</f>
        <v>-2.0493066255778136</v>
      </c>
      <c r="P28" s="25"/>
    </row>
    <row r="31" spans="10:11" ht="14.25">
      <c r="J31" s="32"/>
      <c r="K31" s="32"/>
    </row>
  </sheetData>
  <sheetProtection/>
  <mergeCells count="2">
    <mergeCell ref="A2:P2"/>
    <mergeCell ref="M3:N3"/>
  </mergeCells>
  <printOptions horizontalCentered="1"/>
  <pageMargins left="0.314583333333333" right="0.156944444444444" top="0.275" bottom="0.236111111111111" header="0.19652777777777802" footer="0.39305555555555605"/>
  <pageSetup firstPageNumber="16" useFirstPageNumber="1" fitToHeight="0" fitToWidth="1" horizontalDpi="600" verticalDpi="600" orientation="landscape" paperSize="9" scale="79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2020-09-22T07:58:00Z</dcterms:created>
  <dcterms:modified xsi:type="dcterms:W3CDTF">2020-10-28T07:23:55Z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